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7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8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9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/Desktop/STATISTICA./CORSO E ARGOM/2-PROBABILITA'/"/>
    </mc:Choice>
  </mc:AlternateContent>
  <xr:revisionPtr revIDLastSave="0" documentId="13_ncr:1_{F7D43BF7-6BFD-DF41-904D-F00BC1B8317C}" xr6:coauthVersionLast="47" xr6:coauthVersionMax="47" xr10:uidLastSave="{00000000-0000-0000-0000-000000000000}"/>
  <bookViews>
    <workbookView xWindow="0" yWindow="0" windowWidth="25600" windowHeight="16000" activeTab="8" xr2:uid="{6CEC8E6E-9E36-4E4E-A573-617EF0770E8C}"/>
  </bookViews>
  <sheets>
    <sheet name="11.1-2-normale" sheetId="2" r:id="rId1"/>
    <sheet name="11.3-percentili di zeta" sheetId="3" r:id="rId2"/>
    <sheet name="11.4-5-NORMALE.N" sheetId="4" r:id="rId3"/>
    <sheet name="norma.st" sheetId="5" r:id="rId4"/>
    <sheet name="prob.norm.st" sheetId="6" r:id="rId5"/>
    <sheet name="NORM ESE" sheetId="7" r:id="rId6"/>
    <sheet name="Normale01" sheetId="8" r:id="rId7"/>
    <sheet name="Normale02" sheetId="9" r:id="rId8"/>
    <sheet name="norm.st-1" sheetId="10" r:id="rId9"/>
  </sheets>
  <externalReferences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9" i="10" l="1"/>
  <c r="L10" i="10"/>
  <c r="L13" i="10"/>
  <c r="K14" i="10"/>
  <c r="L14" i="10"/>
  <c r="C15" i="10"/>
  <c r="L15" i="10"/>
  <c r="K16" i="10"/>
  <c r="L16" i="10"/>
  <c r="L17" i="10"/>
  <c r="K18" i="10"/>
  <c r="L18" i="10" s="1"/>
  <c r="L19" i="10"/>
  <c r="K20" i="10"/>
  <c r="L20" i="10" s="1"/>
  <c r="C21" i="10"/>
  <c r="L21" i="10"/>
  <c r="K22" i="10"/>
  <c r="L22" i="10"/>
  <c r="L23" i="10"/>
  <c r="E24" i="10"/>
  <c r="K24" i="10"/>
  <c r="L24" i="10"/>
  <c r="L25" i="10"/>
  <c r="K26" i="10"/>
  <c r="L26" i="10" s="1"/>
  <c r="L27" i="10"/>
  <c r="K28" i="10"/>
  <c r="L28" i="10" s="1"/>
  <c r="L29" i="10"/>
  <c r="K30" i="10"/>
  <c r="L30" i="10"/>
  <c r="C31" i="10"/>
  <c r="D29" i="10" s="1"/>
  <c r="L31" i="10"/>
  <c r="C32" i="10"/>
  <c r="K32" i="10"/>
  <c r="L32" i="10" s="1"/>
  <c r="L33" i="10"/>
  <c r="F34" i="10"/>
  <c r="F38" i="10" s="1"/>
  <c r="K34" i="10"/>
  <c r="L34" i="10" s="1"/>
  <c r="F35" i="10"/>
  <c r="F37" i="10" s="1"/>
  <c r="C38" i="10" s="1"/>
  <c r="L35" i="10"/>
  <c r="K36" i="10"/>
  <c r="L36" i="10" s="1"/>
  <c r="L37" i="10"/>
  <c r="K38" i="10"/>
  <c r="L38" i="10" s="1"/>
  <c r="L39" i="10"/>
  <c r="K40" i="10"/>
  <c r="L40" i="10"/>
  <c r="L41" i="10"/>
  <c r="K42" i="10"/>
  <c r="L42" i="10" s="1"/>
  <c r="L43" i="10"/>
  <c r="D44" i="10"/>
  <c r="K44" i="10"/>
  <c r="L44" i="10" s="1"/>
  <c r="L45" i="10"/>
  <c r="K46" i="10"/>
  <c r="L46" i="10" s="1"/>
  <c r="L47" i="10"/>
  <c r="K48" i="10"/>
  <c r="L48" i="10"/>
  <c r="L49" i="10"/>
  <c r="K50" i="10"/>
  <c r="L50" i="10" s="1"/>
  <c r="L51" i="10"/>
  <c r="K52" i="10"/>
  <c r="L52" i="10" s="1"/>
  <c r="L53" i="10"/>
  <c r="K54" i="10"/>
  <c r="L54" i="10" s="1"/>
  <c r="D55" i="10"/>
  <c r="L55" i="10"/>
  <c r="K56" i="10"/>
  <c r="L56" i="10" s="1"/>
  <c r="L57" i="10"/>
  <c r="K58" i="10"/>
  <c r="L58" i="10" s="1"/>
  <c r="L59" i="10"/>
  <c r="C60" i="10"/>
  <c r="C61" i="10" s="1"/>
  <c r="K60" i="10"/>
  <c r="L60" i="10" s="1"/>
  <c r="L61" i="10"/>
  <c r="K62" i="10"/>
  <c r="L62" i="10"/>
  <c r="L63" i="10"/>
  <c r="K64" i="10"/>
  <c r="L64" i="10" s="1"/>
  <c r="L65" i="10"/>
  <c r="K66" i="10"/>
  <c r="L66" i="10" s="1"/>
  <c r="L67" i="10"/>
  <c r="K68" i="10"/>
  <c r="L68" i="10" s="1"/>
  <c r="D69" i="10"/>
  <c r="L69" i="10"/>
  <c r="D70" i="10"/>
  <c r="K70" i="10"/>
  <c r="L70" i="10"/>
  <c r="L71" i="10"/>
  <c r="K72" i="10"/>
  <c r="L72" i="10" s="1"/>
  <c r="L73" i="10"/>
  <c r="K74" i="10"/>
  <c r="L74" i="10" s="1"/>
  <c r="L75" i="10"/>
  <c r="K76" i="10"/>
  <c r="L76" i="10" s="1"/>
  <c r="L77" i="10"/>
  <c r="K78" i="10"/>
  <c r="L78" i="10"/>
  <c r="L79" i="10"/>
  <c r="K80" i="10"/>
  <c r="L80" i="10" s="1"/>
  <c r="L81" i="10"/>
  <c r="K82" i="10"/>
  <c r="L82" i="10" s="1"/>
  <c r="L83" i="10"/>
  <c r="K84" i="10"/>
  <c r="L84" i="10" s="1"/>
  <c r="L85" i="10"/>
  <c r="K86" i="10"/>
  <c r="L86" i="10"/>
  <c r="L87" i="10"/>
  <c r="K88" i="10"/>
  <c r="L88" i="10" s="1"/>
  <c r="L89" i="10"/>
  <c r="K90" i="10"/>
  <c r="L90" i="10" s="1"/>
  <c r="L91" i="10"/>
  <c r="K92" i="10"/>
  <c r="L92" i="10" s="1"/>
  <c r="L93" i="10"/>
  <c r="K94" i="10"/>
  <c r="L94" i="10"/>
  <c r="L95" i="10"/>
  <c r="K96" i="10"/>
  <c r="L96" i="10" s="1"/>
  <c r="L97" i="10"/>
  <c r="K98" i="10"/>
  <c r="L98" i="10" s="1"/>
  <c r="L99" i="10"/>
  <c r="K100" i="10"/>
  <c r="L100" i="10" s="1"/>
  <c r="L101" i="10"/>
  <c r="K102" i="10"/>
  <c r="L102" i="10"/>
  <c r="L103" i="10"/>
  <c r="K104" i="10"/>
  <c r="L104" i="10" s="1"/>
  <c r="L105" i="10"/>
  <c r="K106" i="10"/>
  <c r="L106" i="10" s="1"/>
  <c r="L107" i="10"/>
  <c r="K108" i="10"/>
  <c r="L108" i="10" s="1"/>
  <c r="L109" i="10"/>
  <c r="K110" i="10"/>
  <c r="L110" i="10"/>
  <c r="L111" i="10"/>
  <c r="K112" i="10"/>
  <c r="L112" i="10" s="1"/>
  <c r="L113" i="10"/>
  <c r="K114" i="10"/>
  <c r="L114" i="10" s="1"/>
  <c r="L115" i="10"/>
  <c r="K116" i="10"/>
  <c r="L116" i="10" s="1"/>
  <c r="L117" i="10"/>
  <c r="K118" i="10"/>
  <c r="L118" i="10"/>
  <c r="L119" i="10"/>
  <c r="K120" i="10"/>
  <c r="L120" i="10" s="1"/>
  <c r="L121" i="10"/>
  <c r="K122" i="10"/>
  <c r="L122" i="10" s="1"/>
  <c r="L123" i="10"/>
  <c r="K124" i="10"/>
  <c r="L124" i="10" s="1"/>
  <c r="L125" i="10"/>
  <c r="K126" i="10"/>
  <c r="L126" i="10"/>
  <c r="L127" i="10"/>
  <c r="K128" i="10"/>
  <c r="L128" i="10" s="1"/>
  <c r="L129" i="10"/>
  <c r="K130" i="10"/>
  <c r="L130" i="10" s="1"/>
  <c r="L131" i="10"/>
  <c r="K132" i="10"/>
  <c r="L132" i="10" s="1"/>
  <c r="L133" i="10"/>
  <c r="K134" i="10"/>
  <c r="L134" i="10"/>
  <c r="L135" i="10"/>
  <c r="C24" i="9"/>
  <c r="F28" i="9"/>
  <c r="E30" i="9"/>
  <c r="C42" i="9"/>
  <c r="C44" i="9"/>
  <c r="C67" i="9"/>
  <c r="C68" i="9"/>
  <c r="F65" i="9"/>
  <c r="C75" i="9"/>
  <c r="E75" i="9"/>
  <c r="C74" i="9"/>
  <c r="E74" i="9"/>
  <c r="D72" i="9"/>
  <c r="C92" i="9"/>
  <c r="C94" i="9"/>
  <c r="D92" i="9"/>
  <c r="C114" i="9"/>
  <c r="D118" i="9"/>
  <c r="D120" i="9"/>
  <c r="N140" i="9"/>
  <c r="O140" i="9"/>
  <c r="N141" i="9"/>
  <c r="C144" i="9"/>
  <c r="O141" i="9"/>
  <c r="O142" i="9"/>
  <c r="O143" i="9"/>
  <c r="O146" i="9"/>
  <c r="N147" i="9"/>
  <c r="O147" i="9"/>
  <c r="N148" i="9"/>
  <c r="O148" i="9"/>
  <c r="N149" i="9"/>
  <c r="O149" i="9"/>
  <c r="N150" i="9"/>
  <c r="O150" i="9"/>
  <c r="C151" i="9"/>
  <c r="N151" i="9"/>
  <c r="O151" i="9"/>
  <c r="N152" i="9"/>
  <c r="O152" i="9"/>
  <c r="N153" i="9"/>
  <c r="O153" i="9"/>
  <c r="N154" i="9"/>
  <c r="O154" i="9"/>
  <c r="C157" i="9"/>
  <c r="C155" i="9"/>
  <c r="N155" i="9"/>
  <c r="O155" i="9"/>
  <c r="N156" i="9"/>
  <c r="O156" i="9"/>
  <c r="N157" i="9"/>
  <c r="O157" i="9"/>
  <c r="N158" i="9"/>
  <c r="O158" i="9"/>
  <c r="N159" i="9"/>
  <c r="O159" i="9"/>
  <c r="N160" i="9"/>
  <c r="O160" i="9"/>
  <c r="N161" i="9"/>
  <c r="O161" i="9"/>
  <c r="N162" i="9"/>
  <c r="O162" i="9"/>
  <c r="N163" i="9"/>
  <c r="O163" i="9"/>
  <c r="N164" i="9"/>
  <c r="O164" i="9"/>
  <c r="N165" i="9"/>
  <c r="O165" i="9"/>
  <c r="N166" i="9"/>
  <c r="O166" i="9"/>
  <c r="N167" i="9"/>
  <c r="O167" i="9"/>
  <c r="N168" i="9"/>
  <c r="O168" i="9"/>
  <c r="N169" i="9"/>
  <c r="O169" i="9"/>
  <c r="N170" i="9"/>
  <c r="O170" i="9"/>
  <c r="N171" i="9"/>
  <c r="O171" i="9"/>
  <c r="N172" i="9"/>
  <c r="O172" i="9"/>
  <c r="N173" i="9"/>
  <c r="O173" i="9"/>
  <c r="N174" i="9"/>
  <c r="O174" i="9"/>
  <c r="B178" i="9"/>
  <c r="C178" i="9"/>
  <c r="B179" i="9"/>
  <c r="C179" i="9"/>
  <c r="C12" i="8"/>
  <c r="C32" i="8"/>
  <c r="C33" i="8"/>
  <c r="C30" i="8"/>
  <c r="C38" i="8"/>
  <c r="C39" i="8"/>
  <c r="C44" i="8"/>
  <c r="C45" i="8"/>
  <c r="C42" i="8"/>
  <c r="C57" i="8"/>
  <c r="C56" i="8"/>
  <c r="C54" i="8"/>
  <c r="D56" i="8"/>
  <c r="D57" i="8"/>
  <c r="F65" i="8"/>
  <c r="F66" i="8"/>
  <c r="C68" i="8"/>
  <c r="C89" i="8"/>
  <c r="C91" i="8"/>
  <c r="C16" i="7"/>
  <c r="L14" i="7"/>
  <c r="L15" i="7"/>
  <c r="L18" i="7"/>
  <c r="L19" i="7"/>
  <c r="L20" i="7"/>
  <c r="C21" i="7"/>
  <c r="L21" i="7"/>
  <c r="L22" i="7"/>
  <c r="C23" i="7"/>
  <c r="L23" i="7"/>
  <c r="L24" i="7"/>
  <c r="L25" i="7"/>
  <c r="L26" i="7"/>
  <c r="L27" i="7"/>
  <c r="L28" i="7"/>
  <c r="L29" i="7"/>
  <c r="L30" i="7"/>
  <c r="C31" i="7"/>
  <c r="L31" i="7"/>
  <c r="C32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D70" i="7"/>
  <c r="D75" i="7"/>
  <c r="D77" i="7"/>
  <c r="D78" i="7"/>
  <c r="D80" i="7"/>
  <c r="D81" i="7"/>
  <c r="D84" i="7"/>
  <c r="D85" i="7"/>
  <c r="D87" i="7"/>
  <c r="D88" i="7"/>
  <c r="C16" i="6"/>
  <c r="C17" i="6"/>
  <c r="C18" i="6"/>
  <c r="C20" i="6"/>
  <c r="C21" i="6"/>
  <c r="C40" i="6"/>
  <c r="C41" i="6"/>
  <c r="D35" i="6"/>
  <c r="D56" i="6"/>
  <c r="C79" i="6"/>
  <c r="D82" i="6"/>
  <c r="C86" i="6"/>
  <c r="C112" i="6"/>
  <c r="C113" i="6"/>
  <c r="C115" i="6"/>
  <c r="C120" i="6"/>
  <c r="C121" i="6"/>
  <c r="C124" i="6"/>
  <c r="C125" i="6"/>
  <c r="D3" i="5"/>
  <c r="E3" i="5"/>
  <c r="F3" i="5"/>
  <c r="D4" i="5"/>
  <c r="E4" i="5"/>
  <c r="D5" i="5"/>
  <c r="E5" i="5"/>
  <c r="D6" i="5"/>
  <c r="E6" i="5"/>
  <c r="D7" i="5"/>
  <c r="E7" i="5"/>
  <c r="D8" i="5"/>
  <c r="E8" i="5"/>
  <c r="D9" i="5"/>
  <c r="E9" i="5"/>
  <c r="D10" i="5"/>
  <c r="E10" i="5"/>
  <c r="D11" i="5"/>
  <c r="E11" i="5"/>
  <c r="D12" i="5"/>
  <c r="E12" i="5"/>
  <c r="D13" i="5"/>
  <c r="E13" i="5"/>
  <c r="D14" i="5"/>
  <c r="E14" i="5"/>
  <c r="D15" i="5"/>
  <c r="E15" i="5"/>
  <c r="D16" i="5"/>
  <c r="E16" i="5"/>
  <c r="D17" i="5"/>
  <c r="E17" i="5"/>
  <c r="D18" i="5"/>
  <c r="E18" i="5"/>
  <c r="D19" i="5"/>
  <c r="E19" i="5"/>
  <c r="D20" i="5"/>
  <c r="E20" i="5"/>
  <c r="D21" i="5"/>
  <c r="E21" i="5"/>
  <c r="D22" i="5"/>
  <c r="E22" i="5"/>
  <c r="D23" i="5"/>
  <c r="E23" i="5"/>
  <c r="D24" i="5"/>
  <c r="E24" i="5"/>
  <c r="D25" i="5"/>
  <c r="E25" i="5"/>
  <c r="D26" i="5"/>
  <c r="E26" i="5"/>
  <c r="D27" i="5"/>
  <c r="E27" i="5"/>
  <c r="D28" i="5"/>
  <c r="E28" i="5"/>
  <c r="D29" i="5"/>
  <c r="E29" i="5"/>
  <c r="D30" i="5"/>
  <c r="E30" i="5"/>
  <c r="D31" i="5"/>
  <c r="E31" i="5"/>
  <c r="D32" i="5"/>
  <c r="E32" i="5"/>
  <c r="D33" i="5"/>
  <c r="E33" i="5"/>
  <c r="D34" i="5"/>
  <c r="E34" i="5"/>
  <c r="D35" i="5"/>
  <c r="E35" i="5"/>
  <c r="D36" i="5"/>
  <c r="E36" i="5"/>
  <c r="D37" i="5"/>
  <c r="E37" i="5"/>
  <c r="D38" i="5"/>
  <c r="E38" i="5"/>
  <c r="D39" i="5"/>
  <c r="E39" i="5"/>
  <c r="D40" i="5"/>
  <c r="E40" i="5"/>
  <c r="D41" i="5"/>
  <c r="E41" i="5"/>
  <c r="D42" i="5"/>
  <c r="E42" i="5"/>
  <c r="D43" i="5"/>
  <c r="E43" i="5"/>
  <c r="D44" i="5"/>
  <c r="E44" i="5"/>
  <c r="D45" i="5"/>
  <c r="E45" i="5"/>
  <c r="D46" i="5"/>
  <c r="E46" i="5"/>
  <c r="D47" i="5"/>
  <c r="E47" i="5"/>
  <c r="D48" i="5"/>
  <c r="E48" i="5"/>
  <c r="D49" i="5"/>
  <c r="E49" i="5"/>
  <c r="D50" i="5"/>
  <c r="E50" i="5"/>
  <c r="D51" i="5"/>
  <c r="E51" i="5"/>
  <c r="D52" i="5"/>
  <c r="E52" i="5"/>
  <c r="D53" i="5"/>
  <c r="E53" i="5"/>
  <c r="D54" i="5"/>
  <c r="E54" i="5"/>
  <c r="D55" i="5"/>
  <c r="E55" i="5"/>
  <c r="D56" i="5"/>
  <c r="E56" i="5"/>
  <c r="D57" i="5"/>
  <c r="E57" i="5"/>
  <c r="D58" i="5"/>
  <c r="E58" i="5"/>
  <c r="D59" i="5"/>
  <c r="E59" i="5"/>
  <c r="D60" i="5"/>
  <c r="E60" i="5"/>
  <c r="D61" i="5"/>
  <c r="E61" i="5"/>
  <c r="D62" i="5"/>
  <c r="E62" i="5"/>
  <c r="D63" i="5"/>
  <c r="E63" i="5"/>
  <c r="D64" i="5"/>
  <c r="E64" i="5"/>
  <c r="D65" i="5"/>
  <c r="E65" i="5"/>
  <c r="D66" i="5"/>
  <c r="E66" i="5"/>
  <c r="D67" i="5"/>
  <c r="E67" i="5"/>
  <c r="D68" i="5"/>
  <c r="E68" i="5"/>
  <c r="D69" i="5"/>
  <c r="E69" i="5"/>
  <c r="D70" i="5"/>
  <c r="E70" i="5"/>
  <c r="D71" i="5"/>
  <c r="E71" i="5"/>
  <c r="D72" i="5"/>
  <c r="E72" i="5"/>
  <c r="D73" i="5"/>
  <c r="E73" i="5"/>
  <c r="D74" i="5"/>
  <c r="E74" i="5"/>
  <c r="D75" i="5"/>
  <c r="E75" i="5"/>
  <c r="D76" i="5"/>
  <c r="E76" i="5"/>
  <c r="D77" i="5"/>
  <c r="E77" i="5"/>
  <c r="D78" i="5"/>
  <c r="E78" i="5"/>
  <c r="D79" i="5"/>
  <c r="E79" i="5"/>
  <c r="D80" i="5"/>
  <c r="E80" i="5"/>
  <c r="D81" i="5"/>
  <c r="E81" i="5"/>
  <c r="D82" i="5"/>
  <c r="E82" i="5"/>
  <c r="D83" i="5"/>
  <c r="E83" i="5"/>
  <c r="D84" i="5"/>
  <c r="E84" i="5"/>
  <c r="D85" i="5"/>
  <c r="E85" i="5"/>
  <c r="D86" i="5"/>
  <c r="E86" i="5"/>
  <c r="R9" i="4"/>
  <c r="R10" i="4"/>
  <c r="R11" i="4"/>
  <c r="R16" i="4"/>
  <c r="Q17" i="4"/>
  <c r="R17" i="4"/>
  <c r="Q18" i="4"/>
  <c r="R18" i="4"/>
  <c r="Q19" i="4"/>
  <c r="R19" i="4"/>
  <c r="F20" i="4"/>
  <c r="Q20" i="4"/>
  <c r="R20" i="4"/>
  <c r="C21" i="4"/>
  <c r="F21" i="4"/>
  <c r="Q21" i="4"/>
  <c r="R21" i="4"/>
  <c r="Q22" i="4"/>
  <c r="R22" i="4"/>
  <c r="Q23" i="4"/>
  <c r="R23" i="4"/>
  <c r="Q24" i="4"/>
  <c r="R24" i="4"/>
  <c r="Q25" i="4"/>
  <c r="R25" i="4"/>
  <c r="F26" i="4"/>
  <c r="Q26" i="4"/>
  <c r="R26" i="4"/>
  <c r="C27" i="4"/>
  <c r="F27" i="4"/>
  <c r="Q27" i="4"/>
  <c r="R27" i="4"/>
  <c r="Q28" i="4"/>
  <c r="R28" i="4"/>
  <c r="Q29" i="4"/>
  <c r="R29" i="4"/>
  <c r="Q30" i="4"/>
  <c r="R30" i="4"/>
  <c r="Q31" i="4"/>
  <c r="R31" i="4"/>
  <c r="Q32" i="4"/>
  <c r="R32" i="4"/>
  <c r="Q33" i="4"/>
  <c r="R33" i="4"/>
  <c r="F34" i="4"/>
  <c r="Q34" i="4"/>
  <c r="R34" i="4"/>
  <c r="C35" i="4"/>
  <c r="F35" i="4"/>
  <c r="Q35" i="4"/>
  <c r="R35" i="4"/>
  <c r="Q36" i="4"/>
  <c r="R36" i="4"/>
  <c r="Q37" i="4"/>
  <c r="R37" i="4"/>
  <c r="Q38" i="4"/>
  <c r="R38" i="4"/>
  <c r="Q39" i="4"/>
  <c r="R39" i="4"/>
  <c r="F40" i="4"/>
  <c r="Q40" i="4"/>
  <c r="R40" i="4"/>
  <c r="C41" i="4"/>
  <c r="F41" i="4"/>
  <c r="Q41" i="4"/>
  <c r="R41" i="4"/>
  <c r="Q42" i="4"/>
  <c r="R42" i="4"/>
  <c r="Q43" i="4"/>
  <c r="R43" i="4"/>
  <c r="Q44" i="4"/>
  <c r="R44" i="4"/>
  <c r="Q45" i="4"/>
  <c r="R45" i="4"/>
  <c r="F46" i="4"/>
  <c r="Q46" i="4"/>
  <c r="R46" i="4"/>
  <c r="C47" i="4"/>
  <c r="Q47" i="4"/>
  <c r="R47" i="4"/>
  <c r="C50" i="4"/>
  <c r="F48" i="4"/>
  <c r="Q48" i="4"/>
  <c r="R48" i="4"/>
  <c r="Q49" i="4"/>
  <c r="R49" i="4"/>
  <c r="Q50" i="4"/>
  <c r="R50" i="4"/>
  <c r="Q51" i="4"/>
  <c r="R51" i="4"/>
  <c r="Q52" i="4"/>
  <c r="R52" i="4"/>
  <c r="Q53" i="4"/>
  <c r="R53" i="4"/>
  <c r="Q54" i="4"/>
  <c r="R54" i="4"/>
  <c r="Q55" i="4"/>
  <c r="R55" i="4"/>
  <c r="Q56" i="4"/>
  <c r="R56" i="4"/>
  <c r="C71" i="4"/>
  <c r="C76" i="4"/>
  <c r="C77" i="4"/>
  <c r="C78" i="4"/>
  <c r="C87" i="4"/>
  <c r="C88" i="4"/>
  <c r="C89" i="4"/>
  <c r="C93" i="4"/>
  <c r="C94" i="4"/>
  <c r="D94" i="4"/>
  <c r="C95" i="4"/>
  <c r="D95" i="4"/>
  <c r="C8" i="3"/>
  <c r="C9" i="3"/>
  <c r="C14" i="3"/>
  <c r="C19" i="3"/>
  <c r="C25" i="3"/>
  <c r="C31" i="3"/>
  <c r="C37" i="3"/>
  <c r="D5" i="2"/>
  <c r="D6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17" i="2"/>
  <c r="C122" i="2"/>
  <c r="C128" i="2"/>
  <c r="C137" i="2"/>
  <c r="C144" i="2"/>
  <c r="C150" i="2"/>
  <c r="C151" i="2"/>
  <c r="C156" i="2"/>
  <c r="C162" i="2"/>
  <c r="C168" i="2"/>
  <c r="C169" i="2"/>
  <c r="C171" i="2"/>
  <c r="C172" i="2"/>
  <c r="C173" i="2"/>
  <c r="C175" i="2"/>
  <c r="C180" i="2"/>
  <c r="C186" i="2"/>
  <c r="C192" i="2"/>
</calcChain>
</file>

<file path=xl/sharedStrings.xml><?xml version="1.0" encoding="utf-8"?>
<sst xmlns="http://schemas.openxmlformats.org/spreadsheetml/2006/main" count="375" uniqueCount="257">
  <si>
    <t>P(-1,25&lt;z&lt;1,12)=</t>
  </si>
  <si>
    <t>P(-2&lt;z&lt;-1)=</t>
  </si>
  <si>
    <t>P(0,75&lt;z&lt;1,52)=</t>
  </si>
  <si>
    <t>P(-0,25&lt;z&lt;0)=</t>
  </si>
  <si>
    <t>P(0&lt;z&lt;1,67)=</t>
  </si>
  <si>
    <t>F(0)=</t>
  </si>
  <si>
    <t>(zona verde)</t>
  </si>
  <si>
    <t>F(1,67)=</t>
  </si>
  <si>
    <t>P(z&lt;-1,28)=</t>
  </si>
  <si>
    <t>P(z&lt;-2,56)=</t>
  </si>
  <si>
    <t>P(z&gt;-1,28)=</t>
  </si>
  <si>
    <t>P(z&gt;-2,56)</t>
  </si>
  <si>
    <t>P(z&gt;3)=</t>
  </si>
  <si>
    <t>P(z&gt;0,48)=</t>
  </si>
  <si>
    <t>P(z&lt;3)=</t>
  </si>
  <si>
    <t>P(z&lt;0,48)=</t>
  </si>
  <si>
    <t>NORMALE STANDARDIZZATA</t>
  </si>
  <si>
    <t>f(z)</t>
  </si>
  <si>
    <t>z</t>
  </si>
  <si>
    <t>P(z&lt;1,65)=</t>
  </si>
  <si>
    <t>ESERCIZI NORMALE CON EXCEL</t>
  </si>
  <si>
    <t>z_0,85=</t>
  </si>
  <si>
    <t>H)</t>
  </si>
  <si>
    <t>z_0,15=</t>
  </si>
  <si>
    <t>I)</t>
  </si>
  <si>
    <t>z_0,46=</t>
  </si>
  <si>
    <t>il 46-esimo percentile di zeta</t>
  </si>
  <si>
    <t>D)</t>
  </si>
  <si>
    <t>Z_0,33=</t>
  </si>
  <si>
    <t>il 33-esimo percentile di zeta</t>
  </si>
  <si>
    <t>C)</t>
  </si>
  <si>
    <t>z_0,50=</t>
  </si>
  <si>
    <t>il 50-esimo percentile di zeta</t>
  </si>
  <si>
    <t>B)</t>
  </si>
  <si>
    <t>z_0,90=</t>
  </si>
  <si>
    <t>Il 90-esimo percentile di zeta</t>
  </si>
  <si>
    <t>A)</t>
  </si>
  <si>
    <t>x2=</t>
  </si>
  <si>
    <t>x1=</t>
  </si>
  <si>
    <t>Z_0,95=</t>
  </si>
  <si>
    <t>C. Un intervallo delle altezza con livello di confidenza del 90%.</t>
  </si>
  <si>
    <t>X_0,10=</t>
  </si>
  <si>
    <t>Z_0,10=</t>
  </si>
  <si>
    <t>B.  l'altezza in corrispondenza della quale il 10% degli individui presenta un'altezza minore</t>
  </si>
  <si>
    <t>X_0,75=</t>
  </si>
  <si>
    <t>Z_0,75=</t>
  </si>
  <si>
    <t>A.  il 75-esimo percentile delle altezze</t>
  </si>
  <si>
    <t>scarto</t>
  </si>
  <si>
    <t>varianza</t>
  </si>
  <si>
    <t>media</t>
  </si>
  <si>
    <t>Calcola:</t>
  </si>
  <si>
    <t>Una popolazione di altezze di un certo gruppo di individui segue una distribuzione normale con media 175cm e varianza 27 cm^2.</t>
  </si>
  <si>
    <t>Z6=</t>
  </si>
  <si>
    <t>X6=</t>
  </si>
  <si>
    <t>P(z5&lt;x&lt;z6)=</t>
  </si>
  <si>
    <t>Z5=</t>
  </si>
  <si>
    <t>P(x5&lt;x&lt;x6)=</t>
  </si>
  <si>
    <t>X5=</t>
  </si>
  <si>
    <t>E. Abbia un'altezza compresa tra 165 e 172 cm.</t>
  </si>
  <si>
    <t>P(z&lt;z4)=</t>
  </si>
  <si>
    <t>Z4=</t>
  </si>
  <si>
    <t>P(x&lt;x4)=</t>
  </si>
  <si>
    <t>X4=</t>
  </si>
  <si>
    <t>D. L'altezza risulti inferiore a 169 cm</t>
  </si>
  <si>
    <t>P(z&gt;z3)=</t>
  </si>
  <si>
    <t>Z3=</t>
  </si>
  <si>
    <t>P(x&gt;x3)=</t>
  </si>
  <si>
    <t>X3=</t>
  </si>
  <si>
    <t>C) P(X&gt;163)=?</t>
  </si>
  <si>
    <t>C. La sua altezza sia superiore a 163 cm</t>
  </si>
  <si>
    <t>P(z&gt;z2)=</t>
  </si>
  <si>
    <t>Z2=</t>
  </si>
  <si>
    <t>P(x&gt;x2)=</t>
  </si>
  <si>
    <t>X2=</t>
  </si>
  <si>
    <t>B) P(X&lt;177)=?</t>
  </si>
  <si>
    <t>B. La sua altezza sia inferiore a 177 cm</t>
  </si>
  <si>
    <t>P(z&gt;z1)=</t>
  </si>
  <si>
    <t>Z1=</t>
  </si>
  <si>
    <t>P(x&gt;x1)=</t>
  </si>
  <si>
    <t>X1=</t>
  </si>
  <si>
    <t>A) P(X&gt;180)=?</t>
  </si>
  <si>
    <t>A. La sua altezza risulti maggiore di 180 cm</t>
  </si>
  <si>
    <t>f(x)</t>
  </si>
  <si>
    <t>x</t>
  </si>
  <si>
    <t>xmax</t>
  </si>
  <si>
    <t>xmin</t>
  </si>
  <si>
    <t>sigma</t>
  </si>
  <si>
    <t>Calcola la probabilità che scegliendo a caso un individuo.</t>
  </si>
  <si>
    <t>F(z)</t>
  </si>
  <si>
    <t>p(z)</t>
  </si>
  <si>
    <t>ripartiz</t>
  </si>
  <si>
    <t>densita</t>
  </si>
  <si>
    <t>P(z&lt;z_2)=</t>
  </si>
  <si>
    <t>z_2=</t>
  </si>
  <si>
    <t>x_2=</t>
  </si>
  <si>
    <t>P(z&lt;z_1)=</t>
  </si>
  <si>
    <t>Z_1=</t>
  </si>
  <si>
    <t>x_1=</t>
  </si>
  <si>
    <t>standardizzazione</t>
  </si>
  <si>
    <t>P(165&lt;x&lt;172)=</t>
  </si>
  <si>
    <t>P(x&lt;172)=</t>
  </si>
  <si>
    <t>P(x&lt;165)=</t>
  </si>
  <si>
    <t>var=</t>
  </si>
  <si>
    <t>media=</t>
  </si>
  <si>
    <t>normale</t>
  </si>
  <si>
    <t>P(x&gt;180)=</t>
  </si>
  <si>
    <t>diretto - senza standardizzazion</t>
  </si>
  <si>
    <t>mdo2</t>
  </si>
  <si>
    <t>P(z&gt;z*)=</t>
  </si>
  <si>
    <t>z*=</t>
  </si>
  <si>
    <t>standardizzare</t>
  </si>
  <si>
    <t>modo 1</t>
  </si>
  <si>
    <t>P(z&lt;Z_0,90)=0,90</t>
  </si>
  <si>
    <t>Z_0,90</t>
  </si>
  <si>
    <t>P(z&lt;-2)=</t>
  </si>
  <si>
    <t>P(z&lt;-1)=</t>
  </si>
  <si>
    <t>z2=</t>
  </si>
  <si>
    <t>z1=</t>
  </si>
  <si>
    <t>P(z&gt;1,65)</t>
  </si>
  <si>
    <t>P(z&lt;1,65)</t>
  </si>
  <si>
    <t>z=</t>
  </si>
  <si>
    <t>x_0,95=</t>
  </si>
  <si>
    <t>x_0,05=</t>
  </si>
  <si>
    <t>z_0,95=</t>
  </si>
  <si>
    <t>z_0,05=</t>
  </si>
  <si>
    <t>z_0,10=</t>
  </si>
  <si>
    <t>x_0,75=</t>
  </si>
  <si>
    <t>z_0,75=</t>
  </si>
  <si>
    <t>diretto</t>
  </si>
  <si>
    <t>dev.st</t>
  </si>
  <si>
    <t>I.C. a livello del 90% è : [166,45 ; 183,55]</t>
  </si>
  <si>
    <t>P(166,45&lt;x&lt;183,55)=90%</t>
  </si>
  <si>
    <t>ha un'altezza compresa tra 166 e 183,5</t>
  </si>
  <si>
    <t>il 90% della popolazione alivello centrale</t>
  </si>
  <si>
    <t>X_0,95=</t>
  </si>
  <si>
    <t>X_10=</t>
  </si>
  <si>
    <t>p(x)</t>
  </si>
  <si>
    <t>estremo sup</t>
  </si>
  <si>
    <t>estremo inf</t>
  </si>
  <si>
    <t>Z*=</t>
  </si>
  <si>
    <t>Z*= (3.700 - media)/devst(medie)</t>
  </si>
  <si>
    <t>calcolo con standardizzazione</t>
  </si>
  <si>
    <t>P(peso medio&gt;3.700)=</t>
  </si>
  <si>
    <t>calcolo diretto</t>
  </si>
  <si>
    <t>E. Calcola la probabilità che il peso medio superi i 3.700 g</t>
  </si>
  <si>
    <t>Dev st=</t>
  </si>
  <si>
    <t>Media=</t>
  </si>
  <si>
    <t>n=</t>
  </si>
  <si>
    <t>campione</t>
  </si>
  <si>
    <t>devst</t>
  </si>
  <si>
    <t>popolazione</t>
  </si>
  <si>
    <t>D. Come si distribuirebbe il peso medio per un campione di 16 neonati?</t>
  </si>
  <si>
    <t>x_0,05= media+z_0,05*sigma</t>
  </si>
  <si>
    <t>z_0,02=</t>
  </si>
  <si>
    <t xml:space="preserve">         calcolare il peso che delimita i neonati a rischio da quelli non a rischio.</t>
  </si>
  <si>
    <t>C. Se ridefiniamo il a rischio un neonato il cui peso sia nella coda del 2% inferiore dei valori,</t>
  </si>
  <si>
    <t>E(x)=</t>
  </si>
  <si>
    <t>B. Se al Chicago General Hospital si hanno 900 nascite in un anno, quanti bambini ci aspettiamo che siano nella categoria a rischio?</t>
  </si>
  <si>
    <t>P(z&lt;z1)=</t>
  </si>
  <si>
    <t>P(x&lt;2200)=</t>
  </si>
  <si>
    <t>???</t>
  </si>
  <si>
    <t>Normale</t>
  </si>
  <si>
    <t>Quale percentuale di neonati si trova nella categoria a rischio?</t>
  </si>
  <si>
    <t>A. Un peso alla nascita di un neonato minore di 2.200g è considerato a rischio perché il tasso di mortalità in questo gruppo è almeno dell'1%.</t>
  </si>
  <si>
    <t>Negli Stati Uniti il peso dei neonati è distribuito normalmente con media 3.420g e deviazione standard 495g.</t>
  </si>
  <si>
    <t>P(z&lt;z*)=</t>
  </si>
  <si>
    <t>P(z1&lt;z&lt;z2)=</t>
  </si>
  <si>
    <t>F(1,56)=</t>
  </si>
  <si>
    <t>F(1)=</t>
  </si>
  <si>
    <t>Calcola la probabilità che z sia compreso tra 1 e 1,56</t>
  </si>
  <si>
    <t>F(2,4)=</t>
  </si>
  <si>
    <t>F(-1,2)=</t>
  </si>
  <si>
    <t>Trova l'area compresa bella funzione normale tra z=-1,20 e z=2,40</t>
  </si>
  <si>
    <t>F(3)=</t>
  </si>
  <si>
    <t>F(628)=</t>
  </si>
  <si>
    <t>P(3&lt;x&lt;628)=</t>
  </si>
  <si>
    <t>var</t>
  </si>
  <si>
    <t>calcolo esatto</t>
  </si>
  <si>
    <t>pi=</t>
  </si>
  <si>
    <t>BINOMIALE</t>
  </si>
  <si>
    <t>Calcola la probabilità che si ammalino un numero di individui compreso tra 3 e 628</t>
  </si>
  <si>
    <t>Se il testo mi chiedesse</t>
  </si>
  <si>
    <t>P(X&gt;=2)=</t>
  </si>
  <si>
    <t>grafico</t>
  </si>
  <si>
    <r>
      <t xml:space="preserve">determina la probabilità che su 1000 individui </t>
    </r>
    <r>
      <rPr>
        <u/>
        <sz val="16"/>
        <color theme="1"/>
        <rFont val="Calibri (Corpo)"/>
      </rPr>
      <t>almeno</t>
    </r>
    <r>
      <rPr>
        <sz val="16"/>
        <color theme="1"/>
        <rFont val="Calibri"/>
        <family val="2"/>
        <scheme val="minor"/>
      </rPr>
      <t xml:space="preserve"> 2 siano allergici al vaccino.</t>
    </r>
  </si>
  <si>
    <t xml:space="preserve">Se la probabilità che un individuo sia allergico ad un certo vaccino è di 0,001, </t>
  </si>
  <si>
    <t>x*=media + z*x dev.st</t>
  </si>
  <si>
    <t>z*=z_0,001</t>
  </si>
  <si>
    <t>metodo con standardizzazione</t>
  </si>
  <si>
    <t>x*=x_0,001=</t>
  </si>
  <si>
    <t>funzione inversa della normale</t>
  </si>
  <si>
    <t>p(x&lt;x*)=</t>
  </si>
  <si>
    <t xml:space="preserve">mille? </t>
  </si>
  <si>
    <t xml:space="preserve">b. A che valore devo portare il valore atteso di ogni pacco per limitare questo rischio all'I per </t>
  </si>
  <si>
    <t>rappresentazione grafica della distribuzione</t>
  </si>
  <si>
    <t>Calcolo con standardizzazione</t>
  </si>
  <si>
    <t>P(x&lt;19.900)=</t>
  </si>
  <si>
    <t>dev. St.=</t>
  </si>
  <si>
    <t>media+4*dev.st</t>
  </si>
  <si>
    <t>max</t>
  </si>
  <si>
    <t>media-4*dev.st</t>
  </si>
  <si>
    <t>minimo</t>
  </si>
  <si>
    <t>NORMALE</t>
  </si>
  <si>
    <t>z*=(x*-media)/st. dev</t>
  </si>
  <si>
    <t>P(x&gt;1000)=</t>
  </si>
  <si>
    <t>st dev=</t>
  </si>
  <si>
    <t>mean=</t>
  </si>
  <si>
    <t>z_0,93=</t>
  </si>
  <si>
    <t>x_0,93=</t>
  </si>
  <si>
    <t>st.dev=</t>
  </si>
  <si>
    <t>F(z2)=</t>
  </si>
  <si>
    <t>F(z1)=</t>
  </si>
  <si>
    <t>F(115)=</t>
  </si>
  <si>
    <t>F(120)=</t>
  </si>
  <si>
    <t>P(115&lt;x&lt;120)=</t>
  </si>
  <si>
    <t>calcolo diretto:</t>
  </si>
  <si>
    <t>st. dev.=</t>
  </si>
  <si>
    <t>z_0.025=</t>
  </si>
  <si>
    <t>z_0.975=</t>
  </si>
  <si>
    <t>P(z&gt;z*)=1-P(z&lt;z*)=</t>
  </si>
  <si>
    <t>P(x&gt;9,5)=</t>
  </si>
  <si>
    <t>z*=(x*-media)/dev.st</t>
  </si>
  <si>
    <t>metodo diretto</t>
  </si>
  <si>
    <t>standard deviation=</t>
  </si>
  <si>
    <t>mean=media=</t>
  </si>
  <si>
    <t>Esercizi Normale</t>
  </si>
  <si>
    <t>che si trova a destra della mediadi 0,48 sqm</t>
  </si>
  <si>
    <t>un individuo presenti un valore inferiore a quel valore</t>
  </si>
  <si>
    <t>68,4% è la probabilità che in una qualsiasi distribuzione normale</t>
  </si>
  <si>
    <t>calcoli sulla normale standardizzata</t>
  </si>
  <si>
    <t>X_0,35=</t>
  </si>
  <si>
    <t>z_0,35=</t>
  </si>
  <si>
    <t>il 35% degli individui pesa meno di 55,37</t>
  </si>
  <si>
    <t>x*=x_0,35=</t>
  </si>
  <si>
    <t>P(x&lt;x*)=0,35</t>
  </si>
  <si>
    <t>individui della popolazione abbiano un peso inferiore</t>
  </si>
  <si>
    <t xml:space="preserve">Calcola il peso in corrispondenza della quale si presume che il 35% degli </t>
  </si>
  <si>
    <t>il 75% degli individui ha un peso inferiore a 62 kili</t>
  </si>
  <si>
    <t>x*=x_0,75=</t>
  </si>
  <si>
    <t>P(x&lt;x*)=75%</t>
  </si>
  <si>
    <t>Calcola il 75-esimo delle pesi</t>
  </si>
  <si>
    <t>P(x1&lt;x&lt;x2)=P(z1&lt;z&lt;z2)=</t>
  </si>
  <si>
    <t>F(55)=</t>
  </si>
  <si>
    <t>F(59)=</t>
  </si>
  <si>
    <t>P(55&lt;x&lt;59)=</t>
  </si>
  <si>
    <t>P(x&lt;68)=P(z&lt;1,61905)=</t>
  </si>
  <si>
    <t>il 68 si trova a destra di 1,62 dev.st. rispetto alla media</t>
  </si>
  <si>
    <t>x*=</t>
  </si>
  <si>
    <t>P(x&lt;68)=</t>
  </si>
  <si>
    <t>x max</t>
  </si>
  <si>
    <t>x min</t>
  </si>
  <si>
    <t>b) abbia un peso compreso tra 55 e 59 kili</t>
  </si>
  <si>
    <t>rappresentazione grafica</t>
  </si>
  <si>
    <t>a) pesi meno di 68 kili</t>
  </si>
  <si>
    <t>Calcola la probabilità che un individuo scelto a caso</t>
  </si>
  <si>
    <t>con media pari 57,8 e dev. St. pari 6,3.</t>
  </si>
  <si>
    <t>il peso di una popolazione di individui si distribuisce normalmente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</si>
</sst>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0"/>
    <numFmt numFmtId="165" formatCode="_-* #,##0.000000_-;\-* #,##0.000000_-;_-* &quot;-&quot;??_-;_-@_-"/>
  </numFmts>
  <fonts count="7" x14ac:knownFonts="1"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Arial"/>
      <family val="2"/>
    </font>
    <font>
      <sz val="14"/>
      <color theme="1"/>
      <name val="Arial"/>
      <family val="2"/>
    </font>
    <font>
      <u/>
      <sz val="16"/>
      <color theme="1"/>
      <name val="Calibri (Corpo)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2" borderId="0" xfId="0" applyFont="1" applyFill="1"/>
    <xf numFmtId="0" fontId="2" fillId="3" borderId="0" xfId="0" applyFont="1" applyFill="1"/>
    <xf numFmtId="0" fontId="4" fillId="0" borderId="0" xfId="0" applyFont="1" applyAlignment="1">
      <alignment horizontal="left" vertical="center" indent="2"/>
    </xf>
    <xf numFmtId="0" fontId="4" fillId="0" borderId="0" xfId="0" applyFont="1" applyAlignment="1">
      <alignment horizontal="left" vertical="center" indent="3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vertical="center" readingOrder="1"/>
    </xf>
    <xf numFmtId="0" fontId="4" fillId="0" borderId="0" xfId="0" applyFont="1" applyAlignment="1">
      <alignment vertical="center" readingOrder="1"/>
    </xf>
    <xf numFmtId="0" fontId="5" fillId="0" borderId="0" xfId="0" applyFont="1"/>
    <xf numFmtId="0" fontId="4" fillId="0" borderId="0" xfId="0" applyFont="1" applyAlignment="1">
      <alignment vertical="center"/>
    </xf>
    <xf numFmtId="165" fontId="2" fillId="0" borderId="0" xfId="1" applyNumberFormat="1" applyFont="1"/>
    <xf numFmtId="0" fontId="0" fillId="0" borderId="0" xfId="0" applyAlignment="1">
      <alignment vertical="center" readingOrder="1"/>
    </xf>
    <xf numFmtId="0" fontId="5" fillId="0" borderId="0" xfId="0" applyFont="1" applyAlignment="1">
      <alignment vertical="center" readingOrder="1"/>
    </xf>
    <xf numFmtId="164" fontId="2" fillId="0" borderId="0" xfId="0" applyNumberFormat="1" applyFont="1"/>
    <xf numFmtId="0" fontId="2" fillId="4" borderId="0" xfId="0" applyFont="1" applyFill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'11.1-2-normale'!$C$15</c:f>
              <c:strCache>
                <c:ptCount val="1"/>
                <c:pt idx="0">
                  <c:v>f(z)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'11.1-2-normale'!$B$16:$B$107</c:f>
              <c:numCache>
                <c:formatCode>General</c:formatCode>
                <c:ptCount val="92"/>
                <c:pt idx="0">
                  <c:v>-4.5</c:v>
                </c:pt>
                <c:pt idx="1">
                  <c:v>-4.4000000000000004</c:v>
                </c:pt>
                <c:pt idx="2">
                  <c:v>-4.3</c:v>
                </c:pt>
                <c:pt idx="3">
                  <c:v>-4.2</c:v>
                </c:pt>
                <c:pt idx="4">
                  <c:v>-4.0999999999999996</c:v>
                </c:pt>
                <c:pt idx="5">
                  <c:v>-4</c:v>
                </c:pt>
                <c:pt idx="6">
                  <c:v>-3.9</c:v>
                </c:pt>
                <c:pt idx="7">
                  <c:v>-3.8</c:v>
                </c:pt>
                <c:pt idx="8">
                  <c:v>-3.7</c:v>
                </c:pt>
                <c:pt idx="9">
                  <c:v>-3.6</c:v>
                </c:pt>
                <c:pt idx="10">
                  <c:v>-3.5</c:v>
                </c:pt>
                <c:pt idx="11">
                  <c:v>-3.4</c:v>
                </c:pt>
                <c:pt idx="12">
                  <c:v>-3.3</c:v>
                </c:pt>
                <c:pt idx="13">
                  <c:v>-3.2</c:v>
                </c:pt>
                <c:pt idx="14">
                  <c:v>-3.1</c:v>
                </c:pt>
                <c:pt idx="15">
                  <c:v>-3.0000000000000102</c:v>
                </c:pt>
                <c:pt idx="16">
                  <c:v>-2.9000000000000101</c:v>
                </c:pt>
                <c:pt idx="17">
                  <c:v>-2.80000000000001</c:v>
                </c:pt>
                <c:pt idx="18">
                  <c:v>-2.7000000000000099</c:v>
                </c:pt>
                <c:pt idx="19">
                  <c:v>-2.6000000000000099</c:v>
                </c:pt>
                <c:pt idx="20">
                  <c:v>-2.5000000000000102</c:v>
                </c:pt>
                <c:pt idx="21">
                  <c:v>-2.4000000000000101</c:v>
                </c:pt>
                <c:pt idx="22">
                  <c:v>-2.30000000000001</c:v>
                </c:pt>
                <c:pt idx="23">
                  <c:v>-2.2000000000000099</c:v>
                </c:pt>
                <c:pt idx="24">
                  <c:v>-2.1000000000000099</c:v>
                </c:pt>
                <c:pt idx="25">
                  <c:v>-2.0000000000000102</c:v>
                </c:pt>
                <c:pt idx="26">
                  <c:v>-1.9000000000000099</c:v>
                </c:pt>
                <c:pt idx="27">
                  <c:v>-1.80000000000001</c:v>
                </c:pt>
                <c:pt idx="28">
                  <c:v>-1.7000000000000099</c:v>
                </c:pt>
                <c:pt idx="29">
                  <c:v>-1.6000000000000101</c:v>
                </c:pt>
                <c:pt idx="30">
                  <c:v>-1.50000000000001</c:v>
                </c:pt>
                <c:pt idx="31">
                  <c:v>-1.4000000000000099</c:v>
                </c:pt>
                <c:pt idx="32">
                  <c:v>-1.30000000000001</c:v>
                </c:pt>
                <c:pt idx="33">
                  <c:v>-1.2000000000000099</c:v>
                </c:pt>
                <c:pt idx="34">
                  <c:v>-1.1000000000000101</c:v>
                </c:pt>
                <c:pt idx="35">
                  <c:v>-1.00000000000001</c:v>
                </c:pt>
                <c:pt idx="36">
                  <c:v>-0.90000000000001001</c:v>
                </c:pt>
                <c:pt idx="37">
                  <c:v>-0.80000000000001004</c:v>
                </c:pt>
                <c:pt idx="38">
                  <c:v>-0.70000000000000995</c:v>
                </c:pt>
                <c:pt idx="39">
                  <c:v>-0.60000000000000997</c:v>
                </c:pt>
                <c:pt idx="40">
                  <c:v>-0.50000000000000999</c:v>
                </c:pt>
                <c:pt idx="41">
                  <c:v>-0.40000000000001001</c:v>
                </c:pt>
                <c:pt idx="42">
                  <c:v>-0.30000000000000998</c:v>
                </c:pt>
                <c:pt idx="43">
                  <c:v>-0.20000000000002</c:v>
                </c:pt>
                <c:pt idx="44">
                  <c:v>-0.10000000000002</c:v>
                </c:pt>
                <c:pt idx="45">
                  <c:v>-2.0428103653102899E-14</c:v>
                </c:pt>
                <c:pt idx="46">
                  <c:v>9.9999999999980105E-2</c:v>
                </c:pt>
                <c:pt idx="47">
                  <c:v>0.19999999999998</c:v>
                </c:pt>
                <c:pt idx="48">
                  <c:v>0.29999999999998</c:v>
                </c:pt>
                <c:pt idx="49">
                  <c:v>0.39999999999997998</c:v>
                </c:pt>
                <c:pt idx="50">
                  <c:v>0.49999999999998002</c:v>
                </c:pt>
                <c:pt idx="51">
                  <c:v>0.59999999999997999</c:v>
                </c:pt>
                <c:pt idx="52">
                  <c:v>0.69999999999997997</c:v>
                </c:pt>
                <c:pt idx="53">
                  <c:v>0.79999999999997995</c:v>
                </c:pt>
                <c:pt idx="54">
                  <c:v>0.89999999999998004</c:v>
                </c:pt>
                <c:pt idx="55">
                  <c:v>0.99999999999998002</c:v>
                </c:pt>
                <c:pt idx="56">
                  <c:v>1.0999999999999801</c:v>
                </c:pt>
                <c:pt idx="57">
                  <c:v>1.19999999999998</c:v>
                </c:pt>
                <c:pt idx="58">
                  <c:v>1.2999999999999801</c:v>
                </c:pt>
                <c:pt idx="59">
                  <c:v>1.3999999999999799</c:v>
                </c:pt>
                <c:pt idx="60">
                  <c:v>1.49999999999998</c:v>
                </c:pt>
                <c:pt idx="61">
                  <c:v>1.5999999999999801</c:v>
                </c:pt>
                <c:pt idx="62">
                  <c:v>1.69999999999998</c:v>
                </c:pt>
                <c:pt idx="63">
                  <c:v>1.7999999999999801</c:v>
                </c:pt>
                <c:pt idx="64">
                  <c:v>1.8999999999999799</c:v>
                </c:pt>
                <c:pt idx="65">
                  <c:v>1.99999999999998</c:v>
                </c:pt>
                <c:pt idx="66">
                  <c:v>2.0999999999999801</c:v>
                </c:pt>
                <c:pt idx="67">
                  <c:v>2.1999999999999802</c:v>
                </c:pt>
                <c:pt idx="68">
                  <c:v>2.2999999999999798</c:v>
                </c:pt>
                <c:pt idx="69">
                  <c:v>2.3999999999999799</c:v>
                </c:pt>
                <c:pt idx="70">
                  <c:v>2.49999999999998</c:v>
                </c:pt>
                <c:pt idx="71">
                  <c:v>2.5999999999999699</c:v>
                </c:pt>
                <c:pt idx="72">
                  <c:v>2.69999999999997</c:v>
                </c:pt>
                <c:pt idx="73">
                  <c:v>2.7999999999999701</c:v>
                </c:pt>
                <c:pt idx="74">
                  <c:v>2.8999999999999702</c:v>
                </c:pt>
                <c:pt idx="75">
                  <c:v>2.9999999999999698</c:v>
                </c:pt>
                <c:pt idx="76">
                  <c:v>3.0999999999999699</c:v>
                </c:pt>
                <c:pt idx="77">
                  <c:v>3.19999999999997</c:v>
                </c:pt>
                <c:pt idx="78">
                  <c:v>3.2999999999999701</c:v>
                </c:pt>
                <c:pt idx="79">
                  <c:v>3.3999999999999702</c:v>
                </c:pt>
                <c:pt idx="80">
                  <c:v>3.4999999999999698</c:v>
                </c:pt>
                <c:pt idx="81">
                  <c:v>3.5999999999999699</c:v>
                </c:pt>
                <c:pt idx="82">
                  <c:v>3.69999999999997</c:v>
                </c:pt>
                <c:pt idx="83">
                  <c:v>3.7999999999999701</c:v>
                </c:pt>
                <c:pt idx="84">
                  <c:v>3.8999999999999702</c:v>
                </c:pt>
                <c:pt idx="85">
                  <c:v>3.9999999999999698</c:v>
                </c:pt>
                <c:pt idx="86">
                  <c:v>4.0999999999999703</c:v>
                </c:pt>
                <c:pt idx="87">
                  <c:v>4.19999999999997</c:v>
                </c:pt>
                <c:pt idx="88">
                  <c:v>4.2999999999999696</c:v>
                </c:pt>
                <c:pt idx="89">
                  <c:v>4.3999999999999702</c:v>
                </c:pt>
                <c:pt idx="90">
                  <c:v>4.4999999999999698</c:v>
                </c:pt>
                <c:pt idx="91">
                  <c:v>4.5999999999999703</c:v>
                </c:pt>
              </c:numCache>
            </c:numRef>
          </c:xVal>
          <c:yVal>
            <c:numRef>
              <c:f>'11.1-2-normale'!$C$16:$C$107</c:f>
              <c:numCache>
                <c:formatCode>General</c:formatCode>
                <c:ptCount val="92"/>
                <c:pt idx="0">
                  <c:v>1.5983741106905475E-5</c:v>
                </c:pt>
                <c:pt idx="1">
                  <c:v>2.4942471290053535E-5</c:v>
                </c:pt>
                <c:pt idx="2">
                  <c:v>3.8535196742087129E-5</c:v>
                </c:pt>
                <c:pt idx="3">
                  <c:v>5.8943067756539855E-5</c:v>
                </c:pt>
                <c:pt idx="4">
                  <c:v>8.9261657177132928E-5</c:v>
                </c:pt>
                <c:pt idx="5">
                  <c:v>1.3383022576488537E-4</c:v>
                </c:pt>
                <c:pt idx="6">
                  <c:v>1.9865547139277272E-4</c:v>
                </c:pt>
                <c:pt idx="7">
                  <c:v>2.9194692579146027E-4</c:v>
                </c:pt>
                <c:pt idx="8">
                  <c:v>4.2478027055075143E-4</c:v>
                </c:pt>
                <c:pt idx="9">
                  <c:v>6.119019301137719E-4</c:v>
                </c:pt>
                <c:pt idx="10">
                  <c:v>8.7268269504576015E-4</c:v>
                </c:pt>
                <c:pt idx="11">
                  <c:v>1.2322191684730199E-3</c:v>
                </c:pt>
                <c:pt idx="12">
                  <c:v>1.7225689390536812E-3</c:v>
                </c:pt>
                <c:pt idx="13">
                  <c:v>2.3840882014648404E-3</c:v>
                </c:pt>
                <c:pt idx="14">
                  <c:v>3.2668190561999182E-3</c:v>
                </c:pt>
                <c:pt idx="15">
                  <c:v>4.431848411937874E-3</c:v>
                </c:pt>
                <c:pt idx="16">
                  <c:v>5.9525324197756795E-3</c:v>
                </c:pt>
                <c:pt idx="17">
                  <c:v>7.915451582979743E-3</c:v>
                </c:pt>
                <c:pt idx="18">
                  <c:v>1.0420934814422318E-2</c:v>
                </c:pt>
                <c:pt idx="19">
                  <c:v>1.3582969233685271E-2</c:v>
                </c:pt>
                <c:pt idx="20">
                  <c:v>1.7528300493568086E-2</c:v>
                </c:pt>
                <c:pt idx="21">
                  <c:v>2.2394530294842355E-2</c:v>
                </c:pt>
                <c:pt idx="22">
                  <c:v>2.8327037741600516E-2</c:v>
                </c:pt>
                <c:pt idx="23">
                  <c:v>3.5474592846230668E-2</c:v>
                </c:pt>
                <c:pt idx="24">
                  <c:v>4.3983595980426296E-2</c:v>
                </c:pt>
                <c:pt idx="25">
                  <c:v>5.3990966513186953E-2</c:v>
                </c:pt>
                <c:pt idx="26">
                  <c:v>6.561581477467536E-2</c:v>
                </c:pt>
                <c:pt idx="27">
                  <c:v>7.8950158300892734E-2</c:v>
                </c:pt>
                <c:pt idx="28">
                  <c:v>9.4049077376885337E-2</c:v>
                </c:pt>
                <c:pt idx="29">
                  <c:v>0.11092083467945377</c:v>
                </c:pt>
                <c:pt idx="30">
                  <c:v>0.1295175956658898</c:v>
                </c:pt>
                <c:pt idx="31">
                  <c:v>0.1497274656357428</c:v>
                </c:pt>
                <c:pt idx="32">
                  <c:v>0.17136859204780513</c:v>
                </c:pt>
                <c:pt idx="33">
                  <c:v>0.19418605498321065</c:v>
                </c:pt>
                <c:pt idx="34">
                  <c:v>0.21785217703254814</c:v>
                </c:pt>
                <c:pt idx="35">
                  <c:v>0.24197072451914092</c:v>
                </c:pt>
                <c:pt idx="36">
                  <c:v>0.26608524989875243</c:v>
                </c:pt>
                <c:pt idx="37">
                  <c:v>0.2896915527614804</c:v>
                </c:pt>
                <c:pt idx="38">
                  <c:v>0.31225393336675911</c:v>
                </c:pt>
                <c:pt idx="39">
                  <c:v>0.33322460289179767</c:v>
                </c:pt>
                <c:pt idx="40">
                  <c:v>0.35206532676429775</c:v>
                </c:pt>
                <c:pt idx="41">
                  <c:v>0.36827014030332184</c:v>
                </c:pt>
                <c:pt idx="42">
                  <c:v>0.38138781546052297</c:v>
                </c:pt>
                <c:pt idx="43">
                  <c:v>0.39104269397545433</c:v>
                </c:pt>
                <c:pt idx="44">
                  <c:v>0.39695254747701098</c:v>
                </c:pt>
                <c:pt idx="45">
                  <c:v>0.3989422804014327</c:v>
                </c:pt>
                <c:pt idx="46">
                  <c:v>0.39695254747701259</c:v>
                </c:pt>
                <c:pt idx="47">
                  <c:v>0.39104269397545749</c:v>
                </c:pt>
                <c:pt idx="48">
                  <c:v>0.38138781546052641</c:v>
                </c:pt>
                <c:pt idx="49">
                  <c:v>0.36827014030332628</c:v>
                </c:pt>
                <c:pt idx="50">
                  <c:v>0.35206532676430302</c:v>
                </c:pt>
                <c:pt idx="51">
                  <c:v>0.33322460289180361</c:v>
                </c:pt>
                <c:pt idx="52">
                  <c:v>0.31225393336676566</c:v>
                </c:pt>
                <c:pt idx="53">
                  <c:v>0.28969155276148739</c:v>
                </c:pt>
                <c:pt idx="54">
                  <c:v>0.26608524989875959</c:v>
                </c:pt>
                <c:pt idx="55">
                  <c:v>0.24197072451914819</c:v>
                </c:pt>
                <c:pt idx="56">
                  <c:v>0.21785217703255533</c:v>
                </c:pt>
                <c:pt idx="57">
                  <c:v>0.19418605498321762</c:v>
                </c:pt>
                <c:pt idx="58">
                  <c:v>0.1713685920478118</c:v>
                </c:pt>
                <c:pt idx="59">
                  <c:v>0.14972746563574907</c:v>
                </c:pt>
                <c:pt idx="60">
                  <c:v>0.1295175956658956</c:v>
                </c:pt>
                <c:pt idx="61">
                  <c:v>0.11092083467945908</c:v>
                </c:pt>
                <c:pt idx="62">
                  <c:v>9.4049077376890139E-2</c:v>
                </c:pt>
                <c:pt idx="63">
                  <c:v>7.8950158300896994E-2</c:v>
                </c:pt>
                <c:pt idx="64">
                  <c:v>6.5615814774679093E-2</c:v>
                </c:pt>
                <c:pt idx="65">
                  <c:v>5.3990966513190221E-2</c:v>
                </c:pt>
                <c:pt idx="66">
                  <c:v>4.398359598042903E-2</c:v>
                </c:pt>
                <c:pt idx="67">
                  <c:v>3.5474592846232986E-2</c:v>
                </c:pt>
                <c:pt idx="68">
                  <c:v>2.8327037741602484E-2</c:v>
                </c:pt>
                <c:pt idx="69">
                  <c:v>2.2394530294843975E-2</c:v>
                </c:pt>
                <c:pt idx="70">
                  <c:v>1.7528300493569411E-2</c:v>
                </c:pt>
                <c:pt idx="71">
                  <c:v>1.3582969233686681E-2</c:v>
                </c:pt>
                <c:pt idx="72">
                  <c:v>1.0420934814423442E-2</c:v>
                </c:pt>
                <c:pt idx="73">
                  <c:v>7.9154515829806277E-3</c:v>
                </c:pt>
                <c:pt idx="74">
                  <c:v>5.9525324197763725E-3</c:v>
                </c:pt>
                <c:pt idx="75">
                  <c:v>4.4318484119384082E-3</c:v>
                </c:pt>
                <c:pt idx="76">
                  <c:v>3.2668190562002266E-3</c:v>
                </c:pt>
                <c:pt idx="77">
                  <c:v>2.3840882014650711E-3</c:v>
                </c:pt>
                <c:pt idx="78">
                  <c:v>1.722568939053851E-3</c:v>
                </c:pt>
                <c:pt idx="79">
                  <c:v>1.2322191684731446E-3</c:v>
                </c:pt>
                <c:pt idx="80">
                  <c:v>8.7268269504585231E-4</c:v>
                </c:pt>
                <c:pt idx="81">
                  <c:v>6.1190193011383879E-4</c:v>
                </c:pt>
                <c:pt idx="82">
                  <c:v>4.2478027055079903E-4</c:v>
                </c:pt>
                <c:pt idx="83">
                  <c:v>2.9194692579149345E-4</c:v>
                </c:pt>
                <c:pt idx="84">
                  <c:v>1.9865547139279581E-4</c:v>
                </c:pt>
                <c:pt idx="85">
                  <c:v>1.3383022576490152E-4</c:v>
                </c:pt>
                <c:pt idx="86">
                  <c:v>8.9261657177143702E-5</c:v>
                </c:pt>
                <c:pt idx="87">
                  <c:v>5.8943067756547288E-5</c:v>
                </c:pt>
                <c:pt idx="88">
                  <c:v>3.8535196742092124E-5</c:v>
                </c:pt>
                <c:pt idx="89">
                  <c:v>2.4942471290056852E-5</c:v>
                </c:pt>
                <c:pt idx="90">
                  <c:v>1.5983741106907633E-5</c:v>
                </c:pt>
                <c:pt idx="91">
                  <c:v>1.0140852065488129E-5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588-7A4A-8E11-2A015093B7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7026896"/>
        <c:axId val="1647028544"/>
      </c:scatterChart>
      <c:valAx>
        <c:axId val="16470268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647028544"/>
        <c:crosses val="autoZero"/>
        <c:crossBetween val="midCat"/>
      </c:valAx>
      <c:valAx>
        <c:axId val="1647028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6470268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tx1"/>
                </a:solidFill>
              </a:rPr>
              <a:t>normale delle altezze N(175;27</a:t>
            </a:r>
            <a:r>
              <a:rPr lang="en-US"/>
              <a:t>)</a:t>
            </a:r>
          </a:p>
        </c:rich>
      </c:tx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>
        <c:manualLayout>
          <c:layoutTarget val="inner"/>
          <c:xMode val="edge"/>
          <c:yMode val="edge"/>
          <c:x val="9.8197725284339454E-2"/>
          <c:y val="0.12726851851851853"/>
          <c:w val="0.8768285214348206"/>
          <c:h val="0.72094889180519106"/>
        </c:manualLayout>
      </c:layout>
      <c:lineChart>
        <c:grouping val="standard"/>
        <c:varyColors val="0"/>
        <c:ser>
          <c:idx val="0"/>
          <c:order val="0"/>
          <c:tx>
            <c:strRef>
              <c:f>'11.4-5-NORMALE.N'!$R$15</c:f>
              <c:strCache>
                <c:ptCount val="1"/>
                <c:pt idx="0">
                  <c:v>f(x)</c:v>
                </c:pt>
              </c:strCache>
            </c:strRef>
          </c:tx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'11.4-5-NORMALE.N'!$Q$16:$Q$56</c:f>
              <c:numCache>
                <c:formatCode>General</c:formatCode>
                <c:ptCount val="41"/>
                <c:pt idx="0">
                  <c:v>155</c:v>
                </c:pt>
                <c:pt idx="1">
                  <c:v>156</c:v>
                </c:pt>
                <c:pt idx="2">
                  <c:v>157</c:v>
                </c:pt>
                <c:pt idx="3">
                  <c:v>158</c:v>
                </c:pt>
                <c:pt idx="4">
                  <c:v>159</c:v>
                </c:pt>
                <c:pt idx="5">
                  <c:v>160</c:v>
                </c:pt>
                <c:pt idx="6">
                  <c:v>161</c:v>
                </c:pt>
                <c:pt idx="7">
                  <c:v>162</c:v>
                </c:pt>
                <c:pt idx="8">
                  <c:v>163</c:v>
                </c:pt>
                <c:pt idx="9">
                  <c:v>164</c:v>
                </c:pt>
                <c:pt idx="10">
                  <c:v>165</c:v>
                </c:pt>
                <c:pt idx="11">
                  <c:v>166</c:v>
                </c:pt>
                <c:pt idx="12">
                  <c:v>167</c:v>
                </c:pt>
                <c:pt idx="13">
                  <c:v>168</c:v>
                </c:pt>
                <c:pt idx="14">
                  <c:v>169</c:v>
                </c:pt>
                <c:pt idx="15">
                  <c:v>170</c:v>
                </c:pt>
                <c:pt idx="16">
                  <c:v>171</c:v>
                </c:pt>
                <c:pt idx="17">
                  <c:v>172</c:v>
                </c:pt>
                <c:pt idx="18">
                  <c:v>173</c:v>
                </c:pt>
                <c:pt idx="19">
                  <c:v>174</c:v>
                </c:pt>
                <c:pt idx="20">
                  <c:v>175</c:v>
                </c:pt>
                <c:pt idx="21">
                  <c:v>176</c:v>
                </c:pt>
                <c:pt idx="22">
                  <c:v>177</c:v>
                </c:pt>
                <c:pt idx="23">
                  <c:v>178</c:v>
                </c:pt>
                <c:pt idx="24">
                  <c:v>179</c:v>
                </c:pt>
                <c:pt idx="25">
                  <c:v>180</c:v>
                </c:pt>
                <c:pt idx="26">
                  <c:v>181</c:v>
                </c:pt>
                <c:pt idx="27">
                  <c:v>182</c:v>
                </c:pt>
                <c:pt idx="28">
                  <c:v>183</c:v>
                </c:pt>
                <c:pt idx="29">
                  <c:v>184</c:v>
                </c:pt>
                <c:pt idx="30">
                  <c:v>185</c:v>
                </c:pt>
                <c:pt idx="31">
                  <c:v>186</c:v>
                </c:pt>
                <c:pt idx="32">
                  <c:v>187</c:v>
                </c:pt>
                <c:pt idx="33">
                  <c:v>188</c:v>
                </c:pt>
                <c:pt idx="34">
                  <c:v>189</c:v>
                </c:pt>
                <c:pt idx="35">
                  <c:v>190</c:v>
                </c:pt>
                <c:pt idx="36">
                  <c:v>191</c:v>
                </c:pt>
                <c:pt idx="37">
                  <c:v>192</c:v>
                </c:pt>
                <c:pt idx="38">
                  <c:v>193</c:v>
                </c:pt>
                <c:pt idx="39">
                  <c:v>194</c:v>
                </c:pt>
                <c:pt idx="40">
                  <c:v>195</c:v>
                </c:pt>
              </c:numCache>
            </c:numRef>
          </c:cat>
          <c:val>
            <c:numRef>
              <c:f>'11.4-5-NORMALE.N'!$R$16:$R$56</c:f>
              <c:numCache>
                <c:formatCode>General</c:formatCode>
                <c:ptCount val="41"/>
                <c:pt idx="0">
                  <c:v>4.658348989938462E-5</c:v>
                </c:pt>
                <c:pt idx="1">
                  <c:v>9.5915577792160924E-5</c:v>
                </c:pt>
                <c:pt idx="2">
                  <c:v>1.9030986111723684E-4</c:v>
                </c:pt>
                <c:pt idx="3">
                  <c:v>3.6387184807010756E-4</c:v>
                </c:pt>
                <c:pt idx="4">
                  <c:v>6.7042567805120578E-4</c:v>
                </c:pt>
                <c:pt idx="5">
                  <c:v>1.1903312694928514E-3</c:v>
                </c:pt>
                <c:pt idx="6">
                  <c:v>2.0365733866798538E-3</c:v>
                </c:pt>
                <c:pt idx="7">
                  <c:v>3.3577418619608703E-3</c:v>
                </c:pt>
                <c:pt idx="8">
                  <c:v>5.3346946405677439E-3</c:v>
                </c:pt>
                <c:pt idx="9">
                  <c:v>8.167456773959348E-3</c:v>
                </c:pt>
                <c:pt idx="10">
                  <c:v>1.2049780703886239E-2</c:v>
                </c:pt>
                <c:pt idx="11">
                  <c:v>1.7131147755974369E-2</c:v>
                </c:pt>
                <c:pt idx="12">
                  <c:v>2.3469768064202999E-2</c:v>
                </c:pt>
                <c:pt idx="13">
                  <c:v>3.0984618544582225E-2</c:v>
                </c:pt>
                <c:pt idx="14">
                  <c:v>3.9418357969819733E-2</c:v>
                </c:pt>
                <c:pt idx="15">
                  <c:v>4.8324339146513247E-2</c:v>
                </c:pt>
                <c:pt idx="16">
                  <c:v>5.7088461245584386E-2</c:v>
                </c:pt>
                <c:pt idx="17">
                  <c:v>6.4989885240913717E-2</c:v>
                </c:pt>
                <c:pt idx="18">
                  <c:v>7.1294860259594431E-2</c:v>
                </c:pt>
                <c:pt idx="19">
                  <c:v>7.5367774839221274E-2</c:v>
                </c:pt>
                <c:pt idx="20">
                  <c:v>7.6776477660296785E-2</c:v>
                </c:pt>
                <c:pt idx="21">
                  <c:v>7.5367774839221274E-2</c:v>
                </c:pt>
                <c:pt idx="22">
                  <c:v>7.1294860259594431E-2</c:v>
                </c:pt>
                <c:pt idx="23">
                  <c:v>6.4989885240913717E-2</c:v>
                </c:pt>
                <c:pt idx="24">
                  <c:v>5.7088461245584386E-2</c:v>
                </c:pt>
                <c:pt idx="25">
                  <c:v>4.8324339146513247E-2</c:v>
                </c:pt>
                <c:pt idx="26">
                  <c:v>3.9418357969819733E-2</c:v>
                </c:pt>
                <c:pt idx="27">
                  <c:v>3.0984618544582225E-2</c:v>
                </c:pt>
                <c:pt idx="28">
                  <c:v>2.3469768064202999E-2</c:v>
                </c:pt>
                <c:pt idx="29">
                  <c:v>1.7131147755974369E-2</c:v>
                </c:pt>
                <c:pt idx="30">
                  <c:v>1.2049780703886239E-2</c:v>
                </c:pt>
                <c:pt idx="31">
                  <c:v>8.167456773959348E-3</c:v>
                </c:pt>
                <c:pt idx="32">
                  <c:v>5.3346946405677439E-3</c:v>
                </c:pt>
                <c:pt idx="33">
                  <c:v>3.3577418619608703E-3</c:v>
                </c:pt>
                <c:pt idx="34">
                  <c:v>2.0365733866798538E-3</c:v>
                </c:pt>
                <c:pt idx="35">
                  <c:v>1.1903312694928514E-3</c:v>
                </c:pt>
                <c:pt idx="36">
                  <c:v>6.7042567805120578E-4</c:v>
                </c:pt>
                <c:pt idx="37">
                  <c:v>3.6387184807010756E-4</c:v>
                </c:pt>
                <c:pt idx="38">
                  <c:v>1.9030986111723684E-4</c:v>
                </c:pt>
                <c:pt idx="39">
                  <c:v>9.5915577792160924E-5</c:v>
                </c:pt>
                <c:pt idx="40">
                  <c:v>4.658348989938462E-5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35-C142-8A4A-A5B50C13CFFB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320198031"/>
        <c:axId val="320199663"/>
      </c:lineChart>
      <c:catAx>
        <c:axId val="3201980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320199663"/>
        <c:crosses val="autoZero"/>
        <c:auto val="1"/>
        <c:lblAlgn val="ctr"/>
        <c:lblOffset val="100"/>
        <c:noMultiLvlLbl val="0"/>
      </c:catAx>
      <c:valAx>
        <c:axId val="32019966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320198031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DISTRIB</a:t>
            </a:r>
            <a:r>
              <a:rPr lang="en-US" baseline="0"/>
              <a:t> NORMALE (175;27)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'11.4-5-NORMALE.N'!$R$15</c:f>
              <c:strCache>
                <c:ptCount val="1"/>
                <c:pt idx="0">
                  <c:v>f(x)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'11.4-5-NORMALE.N'!$Q$16:$Q$56</c:f>
              <c:numCache>
                <c:formatCode>General</c:formatCode>
                <c:ptCount val="41"/>
                <c:pt idx="0">
                  <c:v>155</c:v>
                </c:pt>
                <c:pt idx="1">
                  <c:v>156</c:v>
                </c:pt>
                <c:pt idx="2">
                  <c:v>157</c:v>
                </c:pt>
                <c:pt idx="3">
                  <c:v>158</c:v>
                </c:pt>
                <c:pt idx="4">
                  <c:v>159</c:v>
                </c:pt>
                <c:pt idx="5">
                  <c:v>160</c:v>
                </c:pt>
                <c:pt idx="6">
                  <c:v>161</c:v>
                </c:pt>
                <c:pt idx="7">
                  <c:v>162</c:v>
                </c:pt>
                <c:pt idx="8">
                  <c:v>163</c:v>
                </c:pt>
                <c:pt idx="9">
                  <c:v>164</c:v>
                </c:pt>
                <c:pt idx="10">
                  <c:v>165</c:v>
                </c:pt>
                <c:pt idx="11">
                  <c:v>166</c:v>
                </c:pt>
                <c:pt idx="12">
                  <c:v>167</c:v>
                </c:pt>
                <c:pt idx="13">
                  <c:v>168</c:v>
                </c:pt>
                <c:pt idx="14">
                  <c:v>169</c:v>
                </c:pt>
                <c:pt idx="15">
                  <c:v>170</c:v>
                </c:pt>
                <c:pt idx="16">
                  <c:v>171</c:v>
                </c:pt>
                <c:pt idx="17">
                  <c:v>172</c:v>
                </c:pt>
                <c:pt idx="18">
                  <c:v>173</c:v>
                </c:pt>
                <c:pt idx="19">
                  <c:v>174</c:v>
                </c:pt>
                <c:pt idx="20">
                  <c:v>175</c:v>
                </c:pt>
                <c:pt idx="21">
                  <c:v>176</c:v>
                </c:pt>
                <c:pt idx="22">
                  <c:v>177</c:v>
                </c:pt>
                <c:pt idx="23">
                  <c:v>178</c:v>
                </c:pt>
                <c:pt idx="24">
                  <c:v>179</c:v>
                </c:pt>
                <c:pt idx="25">
                  <c:v>180</c:v>
                </c:pt>
                <c:pt idx="26">
                  <c:v>181</c:v>
                </c:pt>
                <c:pt idx="27">
                  <c:v>182</c:v>
                </c:pt>
                <c:pt idx="28">
                  <c:v>183</c:v>
                </c:pt>
                <c:pt idx="29">
                  <c:v>184</c:v>
                </c:pt>
                <c:pt idx="30">
                  <c:v>185</c:v>
                </c:pt>
                <c:pt idx="31">
                  <c:v>186</c:v>
                </c:pt>
                <c:pt idx="32">
                  <c:v>187</c:v>
                </c:pt>
                <c:pt idx="33">
                  <c:v>188</c:v>
                </c:pt>
                <c:pt idx="34">
                  <c:v>189</c:v>
                </c:pt>
                <c:pt idx="35">
                  <c:v>190</c:v>
                </c:pt>
                <c:pt idx="36">
                  <c:v>191</c:v>
                </c:pt>
                <c:pt idx="37">
                  <c:v>192</c:v>
                </c:pt>
                <c:pt idx="38">
                  <c:v>193</c:v>
                </c:pt>
                <c:pt idx="39">
                  <c:v>194</c:v>
                </c:pt>
                <c:pt idx="40">
                  <c:v>195</c:v>
                </c:pt>
              </c:numCache>
            </c:numRef>
          </c:cat>
          <c:val>
            <c:numRef>
              <c:f>'11.4-5-NORMALE.N'!$R$16:$R$56</c:f>
              <c:numCache>
                <c:formatCode>General</c:formatCode>
                <c:ptCount val="41"/>
                <c:pt idx="0">
                  <c:v>4.658348989938462E-5</c:v>
                </c:pt>
                <c:pt idx="1">
                  <c:v>9.5915577792160924E-5</c:v>
                </c:pt>
                <c:pt idx="2">
                  <c:v>1.9030986111723684E-4</c:v>
                </c:pt>
                <c:pt idx="3">
                  <c:v>3.6387184807010756E-4</c:v>
                </c:pt>
                <c:pt idx="4">
                  <c:v>6.7042567805120578E-4</c:v>
                </c:pt>
                <c:pt idx="5">
                  <c:v>1.1903312694928514E-3</c:v>
                </c:pt>
                <c:pt idx="6">
                  <c:v>2.0365733866798538E-3</c:v>
                </c:pt>
                <c:pt idx="7">
                  <c:v>3.3577418619608703E-3</c:v>
                </c:pt>
                <c:pt idx="8">
                  <c:v>5.3346946405677439E-3</c:v>
                </c:pt>
                <c:pt idx="9">
                  <c:v>8.167456773959348E-3</c:v>
                </c:pt>
                <c:pt idx="10">
                  <c:v>1.2049780703886239E-2</c:v>
                </c:pt>
                <c:pt idx="11">
                  <c:v>1.7131147755974369E-2</c:v>
                </c:pt>
                <c:pt idx="12">
                  <c:v>2.3469768064202999E-2</c:v>
                </c:pt>
                <c:pt idx="13">
                  <c:v>3.0984618544582225E-2</c:v>
                </c:pt>
                <c:pt idx="14">
                  <c:v>3.9418357969819733E-2</c:v>
                </c:pt>
                <c:pt idx="15">
                  <c:v>4.8324339146513247E-2</c:v>
                </c:pt>
                <c:pt idx="16">
                  <c:v>5.7088461245584386E-2</c:v>
                </c:pt>
                <c:pt idx="17">
                  <c:v>6.4989885240913717E-2</c:v>
                </c:pt>
                <c:pt idx="18">
                  <c:v>7.1294860259594431E-2</c:v>
                </c:pt>
                <c:pt idx="19">
                  <c:v>7.5367774839221274E-2</c:v>
                </c:pt>
                <c:pt idx="20">
                  <c:v>7.6776477660296785E-2</c:v>
                </c:pt>
                <c:pt idx="21">
                  <c:v>7.5367774839221274E-2</c:v>
                </c:pt>
                <c:pt idx="22">
                  <c:v>7.1294860259594431E-2</c:v>
                </c:pt>
                <c:pt idx="23">
                  <c:v>6.4989885240913717E-2</c:v>
                </c:pt>
                <c:pt idx="24">
                  <c:v>5.7088461245584386E-2</c:v>
                </c:pt>
                <c:pt idx="25">
                  <c:v>4.8324339146513247E-2</c:v>
                </c:pt>
                <c:pt idx="26">
                  <c:v>3.9418357969819733E-2</c:v>
                </c:pt>
                <c:pt idx="27">
                  <c:v>3.0984618544582225E-2</c:v>
                </c:pt>
                <c:pt idx="28">
                  <c:v>2.3469768064202999E-2</c:v>
                </c:pt>
                <c:pt idx="29">
                  <c:v>1.7131147755974369E-2</c:v>
                </c:pt>
                <c:pt idx="30">
                  <c:v>1.2049780703886239E-2</c:v>
                </c:pt>
                <c:pt idx="31">
                  <c:v>8.167456773959348E-3</c:v>
                </c:pt>
                <c:pt idx="32">
                  <c:v>5.3346946405677439E-3</c:v>
                </c:pt>
                <c:pt idx="33">
                  <c:v>3.3577418619608703E-3</c:v>
                </c:pt>
                <c:pt idx="34">
                  <c:v>2.0365733866798538E-3</c:v>
                </c:pt>
                <c:pt idx="35">
                  <c:v>1.1903312694928514E-3</c:v>
                </c:pt>
                <c:pt idx="36">
                  <c:v>6.7042567805120578E-4</c:v>
                </c:pt>
                <c:pt idx="37">
                  <c:v>3.6387184807010756E-4</c:v>
                </c:pt>
                <c:pt idx="38">
                  <c:v>1.9030986111723684E-4</c:v>
                </c:pt>
                <c:pt idx="39">
                  <c:v>9.5915577792160924E-5</c:v>
                </c:pt>
                <c:pt idx="40">
                  <c:v>4.658348989938462E-5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AF-6E43-82ED-7EDB758FB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16951088"/>
        <c:axId val="1617663376"/>
      </c:lineChart>
      <c:catAx>
        <c:axId val="1616951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617663376"/>
        <c:crosses val="autoZero"/>
        <c:auto val="1"/>
        <c:lblAlgn val="ctr"/>
        <c:lblOffset val="100"/>
        <c:noMultiLvlLbl val="0"/>
      </c:catAx>
      <c:valAx>
        <c:axId val="1617663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616951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norma.st!$D$2</c:f>
              <c:strCache>
                <c:ptCount val="1"/>
                <c:pt idx="0">
                  <c:v>p(z)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norma.st!$C$3:$C$86</c:f>
              <c:numCache>
                <c:formatCode>General</c:formatCode>
                <c:ptCount val="84"/>
                <c:pt idx="0">
                  <c:v>-4</c:v>
                </c:pt>
                <c:pt idx="1">
                  <c:v>-3.9</c:v>
                </c:pt>
                <c:pt idx="2">
                  <c:v>-3.8</c:v>
                </c:pt>
                <c:pt idx="3">
                  <c:v>-3.7</c:v>
                </c:pt>
                <c:pt idx="4">
                  <c:v>-3.6</c:v>
                </c:pt>
                <c:pt idx="5">
                  <c:v>-3.5</c:v>
                </c:pt>
                <c:pt idx="6">
                  <c:v>-3.4</c:v>
                </c:pt>
                <c:pt idx="7">
                  <c:v>-3.3</c:v>
                </c:pt>
                <c:pt idx="8">
                  <c:v>-3.2</c:v>
                </c:pt>
                <c:pt idx="9">
                  <c:v>-3.1</c:v>
                </c:pt>
                <c:pt idx="10">
                  <c:v>-3</c:v>
                </c:pt>
                <c:pt idx="11">
                  <c:v>-2.9</c:v>
                </c:pt>
                <c:pt idx="12">
                  <c:v>-2.8</c:v>
                </c:pt>
                <c:pt idx="13">
                  <c:v>-2.7</c:v>
                </c:pt>
                <c:pt idx="14">
                  <c:v>-2.6</c:v>
                </c:pt>
                <c:pt idx="15">
                  <c:v>-2.5</c:v>
                </c:pt>
                <c:pt idx="16">
                  <c:v>-2.4</c:v>
                </c:pt>
                <c:pt idx="17">
                  <c:v>-2.2999999999999998</c:v>
                </c:pt>
                <c:pt idx="18">
                  <c:v>-2.2000000000000002</c:v>
                </c:pt>
                <c:pt idx="19">
                  <c:v>-2.1</c:v>
                </c:pt>
                <c:pt idx="20">
                  <c:v>-2</c:v>
                </c:pt>
                <c:pt idx="21">
                  <c:v>-1.9</c:v>
                </c:pt>
                <c:pt idx="22">
                  <c:v>-1.8</c:v>
                </c:pt>
                <c:pt idx="23">
                  <c:v>-1.7</c:v>
                </c:pt>
                <c:pt idx="24">
                  <c:v>-1.6</c:v>
                </c:pt>
                <c:pt idx="25">
                  <c:v>-1.5</c:v>
                </c:pt>
                <c:pt idx="26">
                  <c:v>-1.4</c:v>
                </c:pt>
                <c:pt idx="27">
                  <c:v>-1.3</c:v>
                </c:pt>
                <c:pt idx="28">
                  <c:v>-1.2</c:v>
                </c:pt>
                <c:pt idx="29">
                  <c:v>-1.1000000000000001</c:v>
                </c:pt>
                <c:pt idx="30">
                  <c:v>-1</c:v>
                </c:pt>
                <c:pt idx="31">
                  <c:v>-0.9</c:v>
                </c:pt>
                <c:pt idx="32">
                  <c:v>-0.8</c:v>
                </c:pt>
                <c:pt idx="33">
                  <c:v>-0.7</c:v>
                </c:pt>
                <c:pt idx="34">
                  <c:v>-0.6</c:v>
                </c:pt>
                <c:pt idx="35">
                  <c:v>-0.5</c:v>
                </c:pt>
                <c:pt idx="36">
                  <c:v>-0.4</c:v>
                </c:pt>
                <c:pt idx="37">
                  <c:v>-0.3</c:v>
                </c:pt>
                <c:pt idx="38">
                  <c:v>-0.2</c:v>
                </c:pt>
                <c:pt idx="39">
                  <c:v>-0.1</c:v>
                </c:pt>
                <c:pt idx="40">
                  <c:v>0</c:v>
                </c:pt>
                <c:pt idx="41">
                  <c:v>9.9999999999999603E-2</c:v>
                </c:pt>
                <c:pt idx="42">
                  <c:v>0.2</c:v>
                </c:pt>
                <c:pt idx="43">
                  <c:v>0.3</c:v>
                </c:pt>
                <c:pt idx="44">
                  <c:v>0.4</c:v>
                </c:pt>
                <c:pt idx="45">
                  <c:v>0.5</c:v>
                </c:pt>
                <c:pt idx="46">
                  <c:v>0.6</c:v>
                </c:pt>
                <c:pt idx="47">
                  <c:v>0.7</c:v>
                </c:pt>
                <c:pt idx="48">
                  <c:v>0.8</c:v>
                </c:pt>
                <c:pt idx="49">
                  <c:v>0.9</c:v>
                </c:pt>
                <c:pt idx="50">
                  <c:v>1</c:v>
                </c:pt>
                <c:pt idx="51">
                  <c:v>1.1000000000000001</c:v>
                </c:pt>
                <c:pt idx="52">
                  <c:v>1.2</c:v>
                </c:pt>
                <c:pt idx="53">
                  <c:v>1.3</c:v>
                </c:pt>
                <c:pt idx="54">
                  <c:v>1.4</c:v>
                </c:pt>
                <c:pt idx="55">
                  <c:v>1.50000000000001</c:v>
                </c:pt>
                <c:pt idx="56">
                  <c:v>1.6</c:v>
                </c:pt>
                <c:pt idx="57">
                  <c:v>1.7</c:v>
                </c:pt>
                <c:pt idx="58">
                  <c:v>1.80000000000001</c:v>
                </c:pt>
                <c:pt idx="59">
                  <c:v>1.9000000000000099</c:v>
                </c:pt>
                <c:pt idx="60">
                  <c:v>2.0000000000000102</c:v>
                </c:pt>
                <c:pt idx="61">
                  <c:v>2.1</c:v>
                </c:pt>
                <c:pt idx="62">
                  <c:v>2.2000000000000099</c:v>
                </c:pt>
                <c:pt idx="63">
                  <c:v>2.30000000000001</c:v>
                </c:pt>
                <c:pt idx="64">
                  <c:v>2.4000000000000101</c:v>
                </c:pt>
                <c:pt idx="65">
                  <c:v>2.5000000000000102</c:v>
                </c:pt>
                <c:pt idx="66">
                  <c:v>2.6000000000000099</c:v>
                </c:pt>
                <c:pt idx="67">
                  <c:v>2.7000000000000099</c:v>
                </c:pt>
                <c:pt idx="68">
                  <c:v>2.80000000000001</c:v>
                </c:pt>
                <c:pt idx="69">
                  <c:v>2.9000000000000101</c:v>
                </c:pt>
                <c:pt idx="70">
                  <c:v>3.0000000000000102</c:v>
                </c:pt>
                <c:pt idx="71">
                  <c:v>3.1000000000000099</c:v>
                </c:pt>
                <c:pt idx="72">
                  <c:v>3.2000000000000099</c:v>
                </c:pt>
                <c:pt idx="73">
                  <c:v>3.30000000000001</c:v>
                </c:pt>
                <c:pt idx="74">
                  <c:v>3.4000000000000101</c:v>
                </c:pt>
                <c:pt idx="75">
                  <c:v>3.5000000000000102</c:v>
                </c:pt>
                <c:pt idx="76">
                  <c:v>3.6000000000000099</c:v>
                </c:pt>
                <c:pt idx="77">
                  <c:v>3.7000000000000099</c:v>
                </c:pt>
                <c:pt idx="78">
                  <c:v>3.80000000000001</c:v>
                </c:pt>
                <c:pt idx="79">
                  <c:v>3.9000000000000101</c:v>
                </c:pt>
                <c:pt idx="80">
                  <c:v>4.0000000000000098</c:v>
                </c:pt>
                <c:pt idx="81">
                  <c:v>4.1000000000000103</c:v>
                </c:pt>
                <c:pt idx="82">
                  <c:v>4.2000000000000099</c:v>
                </c:pt>
                <c:pt idx="83">
                  <c:v>4.3000000000000096</c:v>
                </c:pt>
              </c:numCache>
            </c:numRef>
          </c:xVal>
          <c:yVal>
            <c:numRef>
              <c:f>norma.st!$D$3:$D$86</c:f>
              <c:numCache>
                <c:formatCode>General</c:formatCode>
                <c:ptCount val="84"/>
                <c:pt idx="0">
                  <c:v>1.3383022576488537E-4</c:v>
                </c:pt>
                <c:pt idx="1">
                  <c:v>1.9865547139277272E-4</c:v>
                </c:pt>
                <c:pt idx="2">
                  <c:v>2.9194692579146027E-4</c:v>
                </c:pt>
                <c:pt idx="3">
                  <c:v>4.2478027055075143E-4</c:v>
                </c:pt>
                <c:pt idx="4">
                  <c:v>6.119019301137719E-4</c:v>
                </c:pt>
                <c:pt idx="5">
                  <c:v>8.7268269504576015E-4</c:v>
                </c:pt>
                <c:pt idx="6">
                  <c:v>1.2322191684730199E-3</c:v>
                </c:pt>
                <c:pt idx="7">
                  <c:v>1.7225689390536812E-3</c:v>
                </c:pt>
                <c:pt idx="8">
                  <c:v>2.3840882014648404E-3</c:v>
                </c:pt>
                <c:pt idx="9">
                  <c:v>3.2668190561999182E-3</c:v>
                </c:pt>
                <c:pt idx="10">
                  <c:v>4.4318484119380075E-3</c:v>
                </c:pt>
                <c:pt idx="11">
                  <c:v>5.9525324197758538E-3</c:v>
                </c:pt>
                <c:pt idx="12">
                  <c:v>7.9154515829799686E-3</c:v>
                </c:pt>
                <c:pt idx="13">
                  <c:v>1.0420934814422592E-2</c:v>
                </c:pt>
                <c:pt idx="14">
                  <c:v>1.3582969233685613E-2</c:v>
                </c:pt>
                <c:pt idx="15">
                  <c:v>1.752830049356854E-2</c:v>
                </c:pt>
                <c:pt idx="16">
                  <c:v>2.2394530294842899E-2</c:v>
                </c:pt>
                <c:pt idx="17">
                  <c:v>2.8327037741601186E-2</c:v>
                </c:pt>
                <c:pt idx="18">
                  <c:v>3.5474592846231424E-2</c:v>
                </c:pt>
                <c:pt idx="19">
                  <c:v>4.3983595980427191E-2</c:v>
                </c:pt>
                <c:pt idx="20">
                  <c:v>5.3990966513188063E-2</c:v>
                </c:pt>
                <c:pt idx="21">
                  <c:v>6.5615814774676595E-2</c:v>
                </c:pt>
                <c:pt idx="22">
                  <c:v>7.8950158300894149E-2</c:v>
                </c:pt>
                <c:pt idx="23">
                  <c:v>9.4049077376886947E-2</c:v>
                </c:pt>
                <c:pt idx="24">
                  <c:v>0.11092083467945554</c:v>
                </c:pt>
                <c:pt idx="25">
                  <c:v>0.12951759566589174</c:v>
                </c:pt>
                <c:pt idx="26">
                  <c:v>0.14972746563574488</c:v>
                </c:pt>
                <c:pt idx="27">
                  <c:v>0.17136859204780736</c:v>
                </c:pt>
                <c:pt idx="28">
                  <c:v>0.19418605498321295</c:v>
                </c:pt>
                <c:pt idx="29">
                  <c:v>0.21785217703255053</c:v>
                </c:pt>
                <c:pt idx="30">
                  <c:v>0.24197072451914337</c:v>
                </c:pt>
                <c:pt idx="31">
                  <c:v>0.26608524989875482</c:v>
                </c:pt>
                <c:pt idx="32">
                  <c:v>0.28969155276148273</c:v>
                </c:pt>
                <c:pt idx="33">
                  <c:v>0.31225393336676127</c:v>
                </c:pt>
                <c:pt idx="34">
                  <c:v>0.33322460289179967</c:v>
                </c:pt>
                <c:pt idx="35">
                  <c:v>0.35206532676429952</c:v>
                </c:pt>
                <c:pt idx="36">
                  <c:v>0.36827014030332333</c:v>
                </c:pt>
                <c:pt idx="37">
                  <c:v>0.38138781546052414</c:v>
                </c:pt>
                <c:pt idx="38">
                  <c:v>0.39104269397545588</c:v>
                </c:pt>
                <c:pt idx="39">
                  <c:v>0.39695254747701181</c:v>
                </c:pt>
                <c:pt idx="40">
                  <c:v>0.3989422804014327</c:v>
                </c:pt>
                <c:pt idx="41">
                  <c:v>0.39695254747701181</c:v>
                </c:pt>
                <c:pt idx="42">
                  <c:v>0.39104269397545588</c:v>
                </c:pt>
                <c:pt idx="43">
                  <c:v>0.38138781546052414</c:v>
                </c:pt>
                <c:pt idx="44">
                  <c:v>0.36827014030332333</c:v>
                </c:pt>
                <c:pt idx="45">
                  <c:v>0.35206532676429952</c:v>
                </c:pt>
                <c:pt idx="46">
                  <c:v>0.33322460289179967</c:v>
                </c:pt>
                <c:pt idx="47">
                  <c:v>0.31225393336676127</c:v>
                </c:pt>
                <c:pt idx="48">
                  <c:v>0.28969155276148273</c:v>
                </c:pt>
                <c:pt idx="49">
                  <c:v>0.26608524989875482</c:v>
                </c:pt>
                <c:pt idx="50">
                  <c:v>0.24197072451914337</c:v>
                </c:pt>
                <c:pt idx="51">
                  <c:v>0.21785217703255053</c:v>
                </c:pt>
                <c:pt idx="52">
                  <c:v>0.19418605498321295</c:v>
                </c:pt>
                <c:pt idx="53">
                  <c:v>0.17136859204780736</c:v>
                </c:pt>
                <c:pt idx="54">
                  <c:v>0.14972746563574488</c:v>
                </c:pt>
                <c:pt idx="55">
                  <c:v>0.1295175956658898</c:v>
                </c:pt>
                <c:pt idx="56">
                  <c:v>0.11092083467945554</c:v>
                </c:pt>
                <c:pt idx="57">
                  <c:v>9.4049077376886947E-2</c:v>
                </c:pt>
                <c:pt idx="58">
                  <c:v>7.8950158300892734E-2</c:v>
                </c:pt>
                <c:pt idx="59">
                  <c:v>6.561581477467536E-2</c:v>
                </c:pt>
                <c:pt idx="60">
                  <c:v>5.3990966513186953E-2</c:v>
                </c:pt>
                <c:pt idx="61">
                  <c:v>4.3983595980427191E-2</c:v>
                </c:pt>
                <c:pt idx="62">
                  <c:v>3.5474592846230668E-2</c:v>
                </c:pt>
                <c:pt idx="63">
                  <c:v>2.8327037741600516E-2</c:v>
                </c:pt>
                <c:pt idx="64">
                  <c:v>2.2394530294842355E-2</c:v>
                </c:pt>
                <c:pt idx="65">
                  <c:v>1.7528300493568086E-2</c:v>
                </c:pt>
                <c:pt idx="66">
                  <c:v>1.3582969233685271E-2</c:v>
                </c:pt>
                <c:pt idx="67">
                  <c:v>1.0420934814422318E-2</c:v>
                </c:pt>
                <c:pt idx="68">
                  <c:v>7.915451582979743E-3</c:v>
                </c:pt>
                <c:pt idx="69">
                  <c:v>5.9525324197756795E-3</c:v>
                </c:pt>
                <c:pt idx="70">
                  <c:v>4.431848411937874E-3</c:v>
                </c:pt>
                <c:pt idx="71">
                  <c:v>3.2668190561998202E-3</c:v>
                </c:pt>
                <c:pt idx="72">
                  <c:v>2.3840882014647662E-3</c:v>
                </c:pt>
                <c:pt idx="73">
                  <c:v>1.7225689390536229E-3</c:v>
                </c:pt>
                <c:pt idx="74">
                  <c:v>1.2322191684729772E-3</c:v>
                </c:pt>
                <c:pt idx="75">
                  <c:v>8.7268269504572915E-4</c:v>
                </c:pt>
                <c:pt idx="76">
                  <c:v>6.1190193011375076E-4</c:v>
                </c:pt>
                <c:pt idx="77">
                  <c:v>4.2478027055073593E-4</c:v>
                </c:pt>
                <c:pt idx="78">
                  <c:v>2.919469257914491E-4</c:v>
                </c:pt>
                <c:pt idx="79">
                  <c:v>1.9865547139276475E-4</c:v>
                </c:pt>
                <c:pt idx="80">
                  <c:v>1.3383022576488014E-4</c:v>
                </c:pt>
                <c:pt idx="81">
                  <c:v>8.926165717712912E-5</c:v>
                </c:pt>
                <c:pt idx="82">
                  <c:v>5.8943067756537443E-5</c:v>
                </c:pt>
                <c:pt idx="83">
                  <c:v>3.853519674208549E-5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D15-E94A-BF09-FB647C0337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6688047"/>
        <c:axId val="162912239"/>
      </c:scatterChart>
      <c:valAx>
        <c:axId val="2166880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62912239"/>
        <c:crosses val="autoZero"/>
        <c:crossBetween val="midCat"/>
      </c:valAx>
      <c:valAx>
        <c:axId val="1629122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2166880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norma.st!$D$2</c:f>
              <c:strCache>
                <c:ptCount val="1"/>
                <c:pt idx="0">
                  <c:v>p(z)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norma.st!$C$3:$C$86</c:f>
              <c:numCache>
                <c:formatCode>General</c:formatCode>
                <c:ptCount val="84"/>
                <c:pt idx="0">
                  <c:v>-4</c:v>
                </c:pt>
                <c:pt idx="1">
                  <c:v>-3.9</c:v>
                </c:pt>
                <c:pt idx="2">
                  <c:v>-3.8</c:v>
                </c:pt>
                <c:pt idx="3">
                  <c:v>-3.7</c:v>
                </c:pt>
                <c:pt idx="4">
                  <c:v>-3.6</c:v>
                </c:pt>
                <c:pt idx="5">
                  <c:v>-3.5</c:v>
                </c:pt>
                <c:pt idx="6">
                  <c:v>-3.4</c:v>
                </c:pt>
                <c:pt idx="7">
                  <c:v>-3.3</c:v>
                </c:pt>
                <c:pt idx="8">
                  <c:v>-3.2</c:v>
                </c:pt>
                <c:pt idx="9">
                  <c:v>-3.1</c:v>
                </c:pt>
                <c:pt idx="10">
                  <c:v>-3</c:v>
                </c:pt>
                <c:pt idx="11">
                  <c:v>-2.9</c:v>
                </c:pt>
                <c:pt idx="12">
                  <c:v>-2.8</c:v>
                </c:pt>
                <c:pt idx="13">
                  <c:v>-2.7</c:v>
                </c:pt>
                <c:pt idx="14">
                  <c:v>-2.6</c:v>
                </c:pt>
                <c:pt idx="15">
                  <c:v>-2.5</c:v>
                </c:pt>
                <c:pt idx="16">
                  <c:v>-2.4</c:v>
                </c:pt>
                <c:pt idx="17">
                  <c:v>-2.2999999999999998</c:v>
                </c:pt>
                <c:pt idx="18">
                  <c:v>-2.2000000000000002</c:v>
                </c:pt>
                <c:pt idx="19">
                  <c:v>-2.1</c:v>
                </c:pt>
                <c:pt idx="20">
                  <c:v>-2</c:v>
                </c:pt>
                <c:pt idx="21">
                  <c:v>-1.9</c:v>
                </c:pt>
                <c:pt idx="22">
                  <c:v>-1.8</c:v>
                </c:pt>
                <c:pt idx="23">
                  <c:v>-1.7</c:v>
                </c:pt>
                <c:pt idx="24">
                  <c:v>-1.6</c:v>
                </c:pt>
                <c:pt idx="25">
                  <c:v>-1.5</c:v>
                </c:pt>
                <c:pt idx="26">
                  <c:v>-1.4</c:v>
                </c:pt>
                <c:pt idx="27">
                  <c:v>-1.3</c:v>
                </c:pt>
                <c:pt idx="28">
                  <c:v>-1.2</c:v>
                </c:pt>
                <c:pt idx="29">
                  <c:v>-1.1000000000000001</c:v>
                </c:pt>
                <c:pt idx="30">
                  <c:v>-1</c:v>
                </c:pt>
                <c:pt idx="31">
                  <c:v>-0.9</c:v>
                </c:pt>
                <c:pt idx="32">
                  <c:v>-0.8</c:v>
                </c:pt>
                <c:pt idx="33">
                  <c:v>-0.7</c:v>
                </c:pt>
                <c:pt idx="34">
                  <c:v>-0.6</c:v>
                </c:pt>
                <c:pt idx="35">
                  <c:v>-0.5</c:v>
                </c:pt>
                <c:pt idx="36">
                  <c:v>-0.4</c:v>
                </c:pt>
                <c:pt idx="37">
                  <c:v>-0.3</c:v>
                </c:pt>
                <c:pt idx="38">
                  <c:v>-0.2</c:v>
                </c:pt>
                <c:pt idx="39">
                  <c:v>-0.1</c:v>
                </c:pt>
                <c:pt idx="40">
                  <c:v>0</c:v>
                </c:pt>
                <c:pt idx="41">
                  <c:v>9.9999999999999603E-2</c:v>
                </c:pt>
                <c:pt idx="42">
                  <c:v>0.2</c:v>
                </c:pt>
                <c:pt idx="43">
                  <c:v>0.3</c:v>
                </c:pt>
                <c:pt idx="44">
                  <c:v>0.4</c:v>
                </c:pt>
                <c:pt idx="45">
                  <c:v>0.5</c:v>
                </c:pt>
                <c:pt idx="46">
                  <c:v>0.6</c:v>
                </c:pt>
                <c:pt idx="47">
                  <c:v>0.7</c:v>
                </c:pt>
                <c:pt idx="48">
                  <c:v>0.8</c:v>
                </c:pt>
                <c:pt idx="49">
                  <c:v>0.9</c:v>
                </c:pt>
                <c:pt idx="50">
                  <c:v>1</c:v>
                </c:pt>
                <c:pt idx="51">
                  <c:v>1.1000000000000001</c:v>
                </c:pt>
                <c:pt idx="52">
                  <c:v>1.2</c:v>
                </c:pt>
                <c:pt idx="53">
                  <c:v>1.3</c:v>
                </c:pt>
                <c:pt idx="54">
                  <c:v>1.4</c:v>
                </c:pt>
                <c:pt idx="55">
                  <c:v>1.50000000000001</c:v>
                </c:pt>
                <c:pt idx="56">
                  <c:v>1.6</c:v>
                </c:pt>
                <c:pt idx="57">
                  <c:v>1.7</c:v>
                </c:pt>
                <c:pt idx="58">
                  <c:v>1.80000000000001</c:v>
                </c:pt>
                <c:pt idx="59">
                  <c:v>1.9000000000000099</c:v>
                </c:pt>
                <c:pt idx="60">
                  <c:v>2.0000000000000102</c:v>
                </c:pt>
                <c:pt idx="61">
                  <c:v>2.1</c:v>
                </c:pt>
                <c:pt idx="62">
                  <c:v>2.2000000000000099</c:v>
                </c:pt>
                <c:pt idx="63">
                  <c:v>2.30000000000001</c:v>
                </c:pt>
                <c:pt idx="64">
                  <c:v>2.4000000000000101</c:v>
                </c:pt>
                <c:pt idx="65">
                  <c:v>2.5000000000000102</c:v>
                </c:pt>
                <c:pt idx="66">
                  <c:v>2.6000000000000099</c:v>
                </c:pt>
                <c:pt idx="67">
                  <c:v>2.7000000000000099</c:v>
                </c:pt>
                <c:pt idx="68">
                  <c:v>2.80000000000001</c:v>
                </c:pt>
                <c:pt idx="69">
                  <c:v>2.9000000000000101</c:v>
                </c:pt>
                <c:pt idx="70">
                  <c:v>3.0000000000000102</c:v>
                </c:pt>
                <c:pt idx="71">
                  <c:v>3.1000000000000099</c:v>
                </c:pt>
                <c:pt idx="72">
                  <c:v>3.2000000000000099</c:v>
                </c:pt>
                <c:pt idx="73">
                  <c:v>3.30000000000001</c:v>
                </c:pt>
                <c:pt idx="74">
                  <c:v>3.4000000000000101</c:v>
                </c:pt>
                <c:pt idx="75">
                  <c:v>3.5000000000000102</c:v>
                </c:pt>
                <c:pt idx="76">
                  <c:v>3.6000000000000099</c:v>
                </c:pt>
                <c:pt idx="77">
                  <c:v>3.7000000000000099</c:v>
                </c:pt>
                <c:pt idx="78">
                  <c:v>3.80000000000001</c:v>
                </c:pt>
                <c:pt idx="79">
                  <c:v>3.9000000000000101</c:v>
                </c:pt>
                <c:pt idx="80">
                  <c:v>4.0000000000000098</c:v>
                </c:pt>
                <c:pt idx="81">
                  <c:v>4.1000000000000103</c:v>
                </c:pt>
                <c:pt idx="82">
                  <c:v>4.2000000000000099</c:v>
                </c:pt>
                <c:pt idx="83">
                  <c:v>4.3000000000000096</c:v>
                </c:pt>
              </c:numCache>
            </c:numRef>
          </c:xVal>
          <c:yVal>
            <c:numRef>
              <c:f>norma.st!$E$3:$E$86</c:f>
              <c:numCache>
                <c:formatCode>General</c:formatCode>
                <c:ptCount val="84"/>
                <c:pt idx="0">
                  <c:v>3.1671241833119857E-5</c:v>
                </c:pt>
                <c:pt idx="1">
                  <c:v>4.8096344017602614E-5</c:v>
                </c:pt>
                <c:pt idx="2">
                  <c:v>7.234804392511999E-5</c:v>
                </c:pt>
                <c:pt idx="3">
                  <c:v>1.0779973347738824E-4</c:v>
                </c:pt>
                <c:pt idx="4">
                  <c:v>1.5910859015753364E-4</c:v>
                </c:pt>
                <c:pt idx="5">
                  <c:v>2.3262907903552504E-4</c:v>
                </c:pt>
                <c:pt idx="6">
                  <c:v>3.369292656768808E-4</c:v>
                </c:pt>
                <c:pt idx="7">
                  <c:v>4.8342414238377744E-4</c:v>
                </c:pt>
                <c:pt idx="8">
                  <c:v>6.8713793791584719E-4</c:v>
                </c:pt>
                <c:pt idx="9">
                  <c:v>9.676032132183561E-4</c:v>
                </c:pt>
                <c:pt idx="10">
                  <c:v>1.3498980316300933E-3</c:v>
                </c:pt>
                <c:pt idx="11">
                  <c:v>1.8658133003840378E-3</c:v>
                </c:pt>
                <c:pt idx="12">
                  <c:v>2.5551303304279312E-3</c:v>
                </c:pt>
                <c:pt idx="13">
                  <c:v>3.4669738030406643E-3</c:v>
                </c:pt>
                <c:pt idx="14">
                  <c:v>4.6611880237187476E-3</c:v>
                </c:pt>
                <c:pt idx="15">
                  <c:v>6.2096653257761331E-3</c:v>
                </c:pt>
                <c:pt idx="16">
                  <c:v>8.1975359245961311E-3</c:v>
                </c:pt>
                <c:pt idx="17">
                  <c:v>1.0724110021675811E-2</c:v>
                </c:pt>
                <c:pt idx="18">
                  <c:v>1.3903447513498597E-2</c:v>
                </c:pt>
                <c:pt idx="19">
                  <c:v>1.7864420562816546E-2</c:v>
                </c:pt>
                <c:pt idx="20">
                  <c:v>2.2750131948179191E-2</c:v>
                </c:pt>
                <c:pt idx="21">
                  <c:v>2.87165598160018E-2</c:v>
                </c:pt>
                <c:pt idx="22">
                  <c:v>3.5930319112925789E-2</c:v>
                </c:pt>
                <c:pt idx="23">
                  <c:v>4.4565462758543041E-2</c:v>
                </c:pt>
                <c:pt idx="24">
                  <c:v>5.4799291699557967E-2</c:v>
                </c:pt>
                <c:pt idx="25">
                  <c:v>6.6807201268858057E-2</c:v>
                </c:pt>
                <c:pt idx="26">
                  <c:v>8.0756659233771053E-2</c:v>
                </c:pt>
                <c:pt idx="27">
                  <c:v>9.6800484585610316E-2</c:v>
                </c:pt>
                <c:pt idx="28">
                  <c:v>0.11506967022170828</c:v>
                </c:pt>
                <c:pt idx="29">
                  <c:v>0.13566606094638264</c:v>
                </c:pt>
                <c:pt idx="30">
                  <c:v>0.15865525393145699</c:v>
                </c:pt>
                <c:pt idx="31">
                  <c:v>0.1840601253467595</c:v>
                </c:pt>
                <c:pt idx="32">
                  <c:v>0.21185539858339661</c:v>
                </c:pt>
                <c:pt idx="33">
                  <c:v>0.24196365222307298</c:v>
                </c:pt>
                <c:pt idx="34">
                  <c:v>0.27425311775007355</c:v>
                </c:pt>
                <c:pt idx="35">
                  <c:v>0.30853753872598688</c:v>
                </c:pt>
                <c:pt idx="36">
                  <c:v>0.34457825838967576</c:v>
                </c:pt>
                <c:pt idx="37">
                  <c:v>0.38208857781104733</c:v>
                </c:pt>
                <c:pt idx="38">
                  <c:v>0.42074029056089696</c:v>
                </c:pt>
                <c:pt idx="39">
                  <c:v>0.46017216272297101</c:v>
                </c:pt>
                <c:pt idx="40">
                  <c:v>0.5</c:v>
                </c:pt>
                <c:pt idx="41">
                  <c:v>0.53982783727702888</c:v>
                </c:pt>
                <c:pt idx="42">
                  <c:v>0.57925970943910299</c:v>
                </c:pt>
                <c:pt idx="43">
                  <c:v>0.61791142218895267</c:v>
                </c:pt>
                <c:pt idx="44">
                  <c:v>0.65542174161032429</c:v>
                </c:pt>
                <c:pt idx="45">
                  <c:v>0.69146246127401312</c:v>
                </c:pt>
                <c:pt idx="46">
                  <c:v>0.72574688224992645</c:v>
                </c:pt>
                <c:pt idx="47">
                  <c:v>0.75803634777692697</c:v>
                </c:pt>
                <c:pt idx="48">
                  <c:v>0.78814460141660336</c:v>
                </c:pt>
                <c:pt idx="49">
                  <c:v>0.81593987465324047</c:v>
                </c:pt>
                <c:pt idx="50">
                  <c:v>0.84134474606854304</c:v>
                </c:pt>
                <c:pt idx="51">
                  <c:v>0.86433393905361733</c:v>
                </c:pt>
                <c:pt idx="52">
                  <c:v>0.88493032977829178</c:v>
                </c:pt>
                <c:pt idx="53">
                  <c:v>0.9031995154143897</c:v>
                </c:pt>
                <c:pt idx="54">
                  <c:v>0.91924334076622893</c:v>
                </c:pt>
                <c:pt idx="55">
                  <c:v>0.93319279873114325</c:v>
                </c:pt>
                <c:pt idx="56">
                  <c:v>0.94520070830044201</c:v>
                </c:pt>
                <c:pt idx="57">
                  <c:v>0.95543453724145699</c:v>
                </c:pt>
                <c:pt idx="58">
                  <c:v>0.96406968088707501</c:v>
                </c:pt>
                <c:pt idx="59">
                  <c:v>0.97128344018399881</c:v>
                </c:pt>
                <c:pt idx="60">
                  <c:v>0.97724986805182135</c:v>
                </c:pt>
                <c:pt idx="61">
                  <c:v>0.98213557943718344</c:v>
                </c:pt>
                <c:pt idx="62">
                  <c:v>0.98609655248650174</c:v>
                </c:pt>
                <c:pt idx="63">
                  <c:v>0.9892758899783245</c:v>
                </c:pt>
                <c:pt idx="64">
                  <c:v>0.99180246407540407</c:v>
                </c:pt>
                <c:pt idx="65">
                  <c:v>0.99379033467422406</c:v>
                </c:pt>
                <c:pt idx="66">
                  <c:v>0.99533881197628138</c:v>
                </c:pt>
                <c:pt idx="67">
                  <c:v>0.99653302619695949</c:v>
                </c:pt>
                <c:pt idx="68">
                  <c:v>0.99744486966957213</c:v>
                </c:pt>
                <c:pt idx="69">
                  <c:v>0.99813418669961607</c:v>
                </c:pt>
                <c:pt idx="70">
                  <c:v>0.9986501019683699</c:v>
                </c:pt>
                <c:pt idx="71">
                  <c:v>0.99903239678678168</c:v>
                </c:pt>
                <c:pt idx="72">
                  <c:v>0.99931286206208414</c:v>
                </c:pt>
                <c:pt idx="73">
                  <c:v>0.99951657585761622</c:v>
                </c:pt>
                <c:pt idx="74">
                  <c:v>0.99966307073432314</c:v>
                </c:pt>
                <c:pt idx="75">
                  <c:v>0.99976737092096446</c:v>
                </c:pt>
                <c:pt idx="76">
                  <c:v>0.99984089140984245</c:v>
                </c:pt>
                <c:pt idx="77">
                  <c:v>0.99989220026652259</c:v>
                </c:pt>
                <c:pt idx="78">
                  <c:v>0.99992765195607491</c:v>
                </c:pt>
                <c:pt idx="79">
                  <c:v>0.99995190365598241</c:v>
                </c:pt>
                <c:pt idx="80">
                  <c:v>0.99996832875816688</c:v>
                </c:pt>
                <c:pt idx="81">
                  <c:v>0.99997934249308751</c:v>
                </c:pt>
                <c:pt idx="82">
                  <c:v>0.9999866542509841</c:v>
                </c:pt>
                <c:pt idx="83">
                  <c:v>0.99999146009452899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17-054B-91AA-EBF28EE0DA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2715471"/>
        <c:axId val="222717119"/>
      </c:scatterChart>
      <c:valAx>
        <c:axId val="2227154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222717119"/>
        <c:crosses val="autoZero"/>
        <c:crossBetween val="midCat"/>
      </c:valAx>
      <c:valAx>
        <c:axId val="222717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22271547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scatterChart>
        <c:scatterStyle val="lineMarker"/>
        <c:varyColors val="0"/>
        <c:ser>
          <c:idx val="2"/>
          <c:order val="0"/>
          <c:tx>
            <c:v>distrib normale cumulativa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strRef>
              <c:f>norma.st!$C$2:$C$86</c:f>
              <c:strCache>
                <c:ptCount val="85"/>
                <c:pt idx="0">
                  <c:v>z</c:v>
                </c:pt>
                <c:pt idx="1">
                  <c:v>-4</c:v>
                </c:pt>
                <c:pt idx="2">
                  <c:v>-3,9</c:v>
                </c:pt>
                <c:pt idx="3">
                  <c:v>-3,8</c:v>
                </c:pt>
                <c:pt idx="4">
                  <c:v>-3,7</c:v>
                </c:pt>
                <c:pt idx="5">
                  <c:v>-3,6</c:v>
                </c:pt>
                <c:pt idx="6">
                  <c:v>-3,5</c:v>
                </c:pt>
                <c:pt idx="7">
                  <c:v>-3,4</c:v>
                </c:pt>
                <c:pt idx="8">
                  <c:v>-3,3</c:v>
                </c:pt>
                <c:pt idx="9">
                  <c:v>-3,2</c:v>
                </c:pt>
                <c:pt idx="10">
                  <c:v>-3,1</c:v>
                </c:pt>
                <c:pt idx="11">
                  <c:v>-3</c:v>
                </c:pt>
                <c:pt idx="12">
                  <c:v>-2,9</c:v>
                </c:pt>
                <c:pt idx="13">
                  <c:v>-2,8</c:v>
                </c:pt>
                <c:pt idx="14">
                  <c:v>-2,7</c:v>
                </c:pt>
                <c:pt idx="15">
                  <c:v>-2,6</c:v>
                </c:pt>
                <c:pt idx="16">
                  <c:v>-2,5</c:v>
                </c:pt>
                <c:pt idx="17">
                  <c:v>-2,4</c:v>
                </c:pt>
                <c:pt idx="18">
                  <c:v>-2,3</c:v>
                </c:pt>
                <c:pt idx="19">
                  <c:v>-2,2</c:v>
                </c:pt>
                <c:pt idx="20">
                  <c:v>-2,1</c:v>
                </c:pt>
                <c:pt idx="21">
                  <c:v>-2</c:v>
                </c:pt>
                <c:pt idx="22">
                  <c:v>-1,9</c:v>
                </c:pt>
                <c:pt idx="23">
                  <c:v>-1,8</c:v>
                </c:pt>
                <c:pt idx="24">
                  <c:v>-1,7</c:v>
                </c:pt>
                <c:pt idx="25">
                  <c:v>-1,6</c:v>
                </c:pt>
                <c:pt idx="26">
                  <c:v>-1,5</c:v>
                </c:pt>
                <c:pt idx="27">
                  <c:v>-1,4</c:v>
                </c:pt>
                <c:pt idx="28">
                  <c:v>-1,3</c:v>
                </c:pt>
                <c:pt idx="29">
                  <c:v>-1,2</c:v>
                </c:pt>
                <c:pt idx="30">
                  <c:v>-1,1</c:v>
                </c:pt>
                <c:pt idx="31">
                  <c:v>-1</c:v>
                </c:pt>
                <c:pt idx="32">
                  <c:v>-0,9</c:v>
                </c:pt>
                <c:pt idx="33">
                  <c:v>-0,8</c:v>
                </c:pt>
                <c:pt idx="34">
                  <c:v>-0,7</c:v>
                </c:pt>
                <c:pt idx="35">
                  <c:v>-0,6</c:v>
                </c:pt>
                <c:pt idx="36">
                  <c:v>-0,5</c:v>
                </c:pt>
                <c:pt idx="37">
                  <c:v>-0,4</c:v>
                </c:pt>
                <c:pt idx="38">
                  <c:v>-0,3</c:v>
                </c:pt>
                <c:pt idx="39">
                  <c:v>-0,2</c:v>
                </c:pt>
                <c:pt idx="40">
                  <c:v>-0,1</c:v>
                </c:pt>
                <c:pt idx="41">
                  <c:v>0</c:v>
                </c:pt>
                <c:pt idx="42">
                  <c:v>0,1</c:v>
                </c:pt>
                <c:pt idx="43">
                  <c:v>0,2</c:v>
                </c:pt>
                <c:pt idx="44">
                  <c:v>0,3</c:v>
                </c:pt>
                <c:pt idx="45">
                  <c:v>0,4</c:v>
                </c:pt>
                <c:pt idx="46">
                  <c:v>0,5</c:v>
                </c:pt>
                <c:pt idx="47">
                  <c:v>0,6</c:v>
                </c:pt>
                <c:pt idx="48">
                  <c:v>0,7</c:v>
                </c:pt>
                <c:pt idx="49">
                  <c:v>0,8</c:v>
                </c:pt>
                <c:pt idx="50">
                  <c:v>0,9</c:v>
                </c:pt>
                <c:pt idx="51">
                  <c:v>1</c:v>
                </c:pt>
                <c:pt idx="52">
                  <c:v>1,1</c:v>
                </c:pt>
                <c:pt idx="53">
                  <c:v>1,2</c:v>
                </c:pt>
                <c:pt idx="54">
                  <c:v>1,3</c:v>
                </c:pt>
                <c:pt idx="55">
                  <c:v>1,4</c:v>
                </c:pt>
                <c:pt idx="56">
                  <c:v>1,5</c:v>
                </c:pt>
                <c:pt idx="57">
                  <c:v>1,6</c:v>
                </c:pt>
                <c:pt idx="58">
                  <c:v>1,7</c:v>
                </c:pt>
                <c:pt idx="59">
                  <c:v>1,8</c:v>
                </c:pt>
                <c:pt idx="60">
                  <c:v>1,9</c:v>
                </c:pt>
                <c:pt idx="61">
                  <c:v>2</c:v>
                </c:pt>
                <c:pt idx="62">
                  <c:v>2,1</c:v>
                </c:pt>
                <c:pt idx="63">
                  <c:v>2,2</c:v>
                </c:pt>
                <c:pt idx="64">
                  <c:v>2,3</c:v>
                </c:pt>
                <c:pt idx="65">
                  <c:v>2,4</c:v>
                </c:pt>
                <c:pt idx="66">
                  <c:v>2,5</c:v>
                </c:pt>
                <c:pt idx="67">
                  <c:v>2,6</c:v>
                </c:pt>
                <c:pt idx="68">
                  <c:v>2,7</c:v>
                </c:pt>
                <c:pt idx="69">
                  <c:v>2,8</c:v>
                </c:pt>
                <c:pt idx="70">
                  <c:v>2,9</c:v>
                </c:pt>
                <c:pt idx="71">
                  <c:v>3</c:v>
                </c:pt>
                <c:pt idx="72">
                  <c:v>3,1</c:v>
                </c:pt>
                <c:pt idx="73">
                  <c:v>3,2</c:v>
                </c:pt>
                <c:pt idx="74">
                  <c:v>3,3</c:v>
                </c:pt>
                <c:pt idx="75">
                  <c:v>3,4</c:v>
                </c:pt>
                <c:pt idx="76">
                  <c:v>3,5</c:v>
                </c:pt>
                <c:pt idx="77">
                  <c:v>3,6</c:v>
                </c:pt>
                <c:pt idx="78">
                  <c:v>3,7</c:v>
                </c:pt>
                <c:pt idx="79">
                  <c:v>3,8</c:v>
                </c:pt>
                <c:pt idx="80">
                  <c:v>3,9</c:v>
                </c:pt>
                <c:pt idx="81">
                  <c:v>4</c:v>
                </c:pt>
                <c:pt idx="82">
                  <c:v>4,1</c:v>
                </c:pt>
                <c:pt idx="83">
                  <c:v>4,2</c:v>
                </c:pt>
                <c:pt idx="84">
                  <c:v>4,3</c:v>
                </c:pt>
              </c:strCache>
            </c:strRef>
          </c:xVal>
          <c:yVal>
            <c:numRef>
              <c:f>norma.st!$E$2:$E$86</c:f>
              <c:numCache>
                <c:formatCode>General</c:formatCode>
                <c:ptCount val="85"/>
                <c:pt idx="0">
                  <c:v>0</c:v>
                </c:pt>
                <c:pt idx="1">
                  <c:v>3.1671241833119857E-5</c:v>
                </c:pt>
                <c:pt idx="2">
                  <c:v>4.8096344017602614E-5</c:v>
                </c:pt>
                <c:pt idx="3">
                  <c:v>7.234804392511999E-5</c:v>
                </c:pt>
                <c:pt idx="4">
                  <c:v>1.0779973347738824E-4</c:v>
                </c:pt>
                <c:pt idx="5">
                  <c:v>1.5910859015753364E-4</c:v>
                </c:pt>
                <c:pt idx="6">
                  <c:v>2.3262907903552504E-4</c:v>
                </c:pt>
                <c:pt idx="7">
                  <c:v>3.369292656768808E-4</c:v>
                </c:pt>
                <c:pt idx="8">
                  <c:v>4.8342414238377744E-4</c:v>
                </c:pt>
                <c:pt idx="9">
                  <c:v>6.8713793791584719E-4</c:v>
                </c:pt>
                <c:pt idx="10">
                  <c:v>9.676032132183561E-4</c:v>
                </c:pt>
                <c:pt idx="11">
                  <c:v>1.3498980316300933E-3</c:v>
                </c:pt>
                <c:pt idx="12">
                  <c:v>1.8658133003840378E-3</c:v>
                </c:pt>
                <c:pt idx="13">
                  <c:v>2.5551303304279312E-3</c:v>
                </c:pt>
                <c:pt idx="14">
                  <c:v>3.4669738030406643E-3</c:v>
                </c:pt>
                <c:pt idx="15">
                  <c:v>4.6611880237187476E-3</c:v>
                </c:pt>
                <c:pt idx="16">
                  <c:v>6.2096653257761331E-3</c:v>
                </c:pt>
                <c:pt idx="17">
                  <c:v>8.1975359245961311E-3</c:v>
                </c:pt>
                <c:pt idx="18">
                  <c:v>1.0724110021675811E-2</c:v>
                </c:pt>
                <c:pt idx="19">
                  <c:v>1.3903447513498597E-2</c:v>
                </c:pt>
                <c:pt idx="20">
                  <c:v>1.7864420562816546E-2</c:v>
                </c:pt>
                <c:pt idx="21">
                  <c:v>2.2750131948179191E-2</c:v>
                </c:pt>
                <c:pt idx="22">
                  <c:v>2.87165598160018E-2</c:v>
                </c:pt>
                <c:pt idx="23">
                  <c:v>3.5930319112925789E-2</c:v>
                </c:pt>
                <c:pt idx="24">
                  <c:v>4.4565462758543041E-2</c:v>
                </c:pt>
                <c:pt idx="25">
                  <c:v>5.4799291699557967E-2</c:v>
                </c:pt>
                <c:pt idx="26">
                  <c:v>6.6807201268858057E-2</c:v>
                </c:pt>
                <c:pt idx="27">
                  <c:v>8.0756659233771053E-2</c:v>
                </c:pt>
                <c:pt idx="28">
                  <c:v>9.6800484585610316E-2</c:v>
                </c:pt>
                <c:pt idx="29">
                  <c:v>0.11506967022170828</c:v>
                </c:pt>
                <c:pt idx="30">
                  <c:v>0.13566606094638264</c:v>
                </c:pt>
                <c:pt idx="31">
                  <c:v>0.15865525393145699</c:v>
                </c:pt>
                <c:pt idx="32">
                  <c:v>0.1840601253467595</c:v>
                </c:pt>
                <c:pt idx="33">
                  <c:v>0.21185539858339661</c:v>
                </c:pt>
                <c:pt idx="34">
                  <c:v>0.24196365222307298</c:v>
                </c:pt>
                <c:pt idx="35">
                  <c:v>0.27425311775007355</c:v>
                </c:pt>
                <c:pt idx="36">
                  <c:v>0.30853753872598688</c:v>
                </c:pt>
                <c:pt idx="37">
                  <c:v>0.34457825838967576</c:v>
                </c:pt>
                <c:pt idx="38">
                  <c:v>0.38208857781104733</c:v>
                </c:pt>
                <c:pt idx="39">
                  <c:v>0.42074029056089696</c:v>
                </c:pt>
                <c:pt idx="40">
                  <c:v>0.46017216272297101</c:v>
                </c:pt>
                <c:pt idx="41">
                  <c:v>0.5</c:v>
                </c:pt>
                <c:pt idx="42">
                  <c:v>0.53982783727702888</c:v>
                </c:pt>
                <c:pt idx="43">
                  <c:v>0.57925970943910299</c:v>
                </c:pt>
                <c:pt idx="44">
                  <c:v>0.61791142218895267</c:v>
                </c:pt>
                <c:pt idx="45">
                  <c:v>0.65542174161032429</c:v>
                </c:pt>
                <c:pt idx="46">
                  <c:v>0.69146246127401312</c:v>
                </c:pt>
                <c:pt idx="47">
                  <c:v>0.72574688224992645</c:v>
                </c:pt>
                <c:pt idx="48">
                  <c:v>0.75803634777692697</c:v>
                </c:pt>
                <c:pt idx="49">
                  <c:v>0.78814460141660336</c:v>
                </c:pt>
                <c:pt idx="50">
                  <c:v>0.81593987465324047</c:v>
                </c:pt>
                <c:pt idx="51">
                  <c:v>0.84134474606854304</c:v>
                </c:pt>
                <c:pt idx="52">
                  <c:v>0.86433393905361733</c:v>
                </c:pt>
                <c:pt idx="53">
                  <c:v>0.88493032977829178</c:v>
                </c:pt>
                <c:pt idx="54">
                  <c:v>0.9031995154143897</c:v>
                </c:pt>
                <c:pt idx="55">
                  <c:v>0.91924334076622893</c:v>
                </c:pt>
                <c:pt idx="56">
                  <c:v>0.93319279873114325</c:v>
                </c:pt>
                <c:pt idx="57">
                  <c:v>0.94520070830044201</c:v>
                </c:pt>
                <c:pt idx="58">
                  <c:v>0.95543453724145699</c:v>
                </c:pt>
                <c:pt idx="59">
                  <c:v>0.96406968088707501</c:v>
                </c:pt>
                <c:pt idx="60">
                  <c:v>0.97128344018399881</c:v>
                </c:pt>
                <c:pt idx="61">
                  <c:v>0.97724986805182135</c:v>
                </c:pt>
                <c:pt idx="62">
                  <c:v>0.98213557943718344</c:v>
                </c:pt>
                <c:pt idx="63">
                  <c:v>0.98609655248650174</c:v>
                </c:pt>
                <c:pt idx="64">
                  <c:v>0.9892758899783245</c:v>
                </c:pt>
                <c:pt idx="65">
                  <c:v>0.99180246407540407</c:v>
                </c:pt>
                <c:pt idx="66">
                  <c:v>0.99379033467422406</c:v>
                </c:pt>
                <c:pt idx="67">
                  <c:v>0.99533881197628138</c:v>
                </c:pt>
                <c:pt idx="68">
                  <c:v>0.99653302619695949</c:v>
                </c:pt>
                <c:pt idx="69">
                  <c:v>0.99744486966957213</c:v>
                </c:pt>
                <c:pt idx="70">
                  <c:v>0.99813418669961607</c:v>
                </c:pt>
                <c:pt idx="71">
                  <c:v>0.9986501019683699</c:v>
                </c:pt>
                <c:pt idx="72">
                  <c:v>0.99903239678678168</c:v>
                </c:pt>
                <c:pt idx="73">
                  <c:v>0.99931286206208414</c:v>
                </c:pt>
                <c:pt idx="74">
                  <c:v>0.99951657585761622</c:v>
                </c:pt>
                <c:pt idx="75">
                  <c:v>0.99966307073432314</c:v>
                </c:pt>
                <c:pt idx="76">
                  <c:v>0.99976737092096446</c:v>
                </c:pt>
                <c:pt idx="77">
                  <c:v>0.99984089140984245</c:v>
                </c:pt>
                <c:pt idx="78">
                  <c:v>0.99989220026652259</c:v>
                </c:pt>
                <c:pt idx="79">
                  <c:v>0.99992765195607491</c:v>
                </c:pt>
                <c:pt idx="80">
                  <c:v>0.99995190365598241</c:v>
                </c:pt>
                <c:pt idx="81">
                  <c:v>0.99996832875816688</c:v>
                </c:pt>
                <c:pt idx="82">
                  <c:v>0.99997934249308751</c:v>
                </c:pt>
                <c:pt idx="83">
                  <c:v>0.9999866542509841</c:v>
                </c:pt>
                <c:pt idx="84">
                  <c:v>0.99999146009452899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CB6-B749-93A0-D0CC01A302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5304991"/>
        <c:axId val="217315599"/>
      </c:scatterChart>
      <c:valAx>
        <c:axId val="2153049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217315599"/>
        <c:crosses val="autoZero"/>
        <c:crossBetween val="midCat"/>
      </c:valAx>
      <c:valAx>
        <c:axId val="2173155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21530499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'NORM ESE'!$L$17</c:f>
              <c:strCache>
                <c:ptCount val="1"/>
                <c:pt idx="0">
                  <c:v>p(x)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'NORM ESE'!$K$18:$K$59</c:f>
              <c:numCache>
                <c:formatCode>General</c:formatCode>
                <c:ptCount val="42"/>
                <c:pt idx="0">
                  <c:v>154</c:v>
                </c:pt>
                <c:pt idx="1">
                  <c:v>155</c:v>
                </c:pt>
                <c:pt idx="2">
                  <c:v>156</c:v>
                </c:pt>
                <c:pt idx="3">
                  <c:v>157</c:v>
                </c:pt>
                <c:pt idx="4">
                  <c:v>158</c:v>
                </c:pt>
                <c:pt idx="5">
                  <c:v>159</c:v>
                </c:pt>
                <c:pt idx="6">
                  <c:v>160</c:v>
                </c:pt>
                <c:pt idx="7">
                  <c:v>161</c:v>
                </c:pt>
                <c:pt idx="8">
                  <c:v>162</c:v>
                </c:pt>
                <c:pt idx="9">
                  <c:v>163</c:v>
                </c:pt>
                <c:pt idx="10">
                  <c:v>164</c:v>
                </c:pt>
                <c:pt idx="11">
                  <c:v>165</c:v>
                </c:pt>
                <c:pt idx="12">
                  <c:v>166</c:v>
                </c:pt>
                <c:pt idx="13">
                  <c:v>167</c:v>
                </c:pt>
                <c:pt idx="14">
                  <c:v>168</c:v>
                </c:pt>
                <c:pt idx="15">
                  <c:v>169</c:v>
                </c:pt>
                <c:pt idx="16">
                  <c:v>170</c:v>
                </c:pt>
                <c:pt idx="17">
                  <c:v>171</c:v>
                </c:pt>
                <c:pt idx="18">
                  <c:v>172</c:v>
                </c:pt>
                <c:pt idx="19">
                  <c:v>173</c:v>
                </c:pt>
                <c:pt idx="20">
                  <c:v>174</c:v>
                </c:pt>
                <c:pt idx="21">
                  <c:v>175</c:v>
                </c:pt>
                <c:pt idx="22">
                  <c:v>176</c:v>
                </c:pt>
                <c:pt idx="23">
                  <c:v>177</c:v>
                </c:pt>
                <c:pt idx="24">
                  <c:v>178</c:v>
                </c:pt>
                <c:pt idx="25">
                  <c:v>179</c:v>
                </c:pt>
                <c:pt idx="26">
                  <c:v>180</c:v>
                </c:pt>
                <c:pt idx="27">
                  <c:v>181</c:v>
                </c:pt>
                <c:pt idx="28">
                  <c:v>182</c:v>
                </c:pt>
                <c:pt idx="29">
                  <c:v>183</c:v>
                </c:pt>
                <c:pt idx="30">
                  <c:v>184</c:v>
                </c:pt>
                <c:pt idx="31">
                  <c:v>185</c:v>
                </c:pt>
                <c:pt idx="32">
                  <c:v>186</c:v>
                </c:pt>
                <c:pt idx="33">
                  <c:v>187</c:v>
                </c:pt>
                <c:pt idx="34">
                  <c:v>188</c:v>
                </c:pt>
                <c:pt idx="35">
                  <c:v>189</c:v>
                </c:pt>
                <c:pt idx="36">
                  <c:v>190</c:v>
                </c:pt>
                <c:pt idx="37">
                  <c:v>191</c:v>
                </c:pt>
                <c:pt idx="38">
                  <c:v>192</c:v>
                </c:pt>
                <c:pt idx="39">
                  <c:v>193</c:v>
                </c:pt>
                <c:pt idx="40">
                  <c:v>194</c:v>
                </c:pt>
                <c:pt idx="41">
                  <c:v>195</c:v>
                </c:pt>
              </c:numCache>
            </c:numRef>
          </c:cat>
          <c:val>
            <c:numRef>
              <c:f>'NORM ESE'!$L$18:$L$59</c:f>
              <c:numCache>
                <c:formatCode>General</c:formatCode>
                <c:ptCount val="42"/>
                <c:pt idx="0">
                  <c:v>2.180167768999956E-5</c:v>
                </c:pt>
                <c:pt idx="1">
                  <c:v>4.658348989938462E-5</c:v>
                </c:pt>
                <c:pt idx="2">
                  <c:v>9.5915577792160924E-5</c:v>
                </c:pt>
                <c:pt idx="3">
                  <c:v>1.9030986111723684E-4</c:v>
                </c:pt>
                <c:pt idx="4">
                  <c:v>3.6387184807010756E-4</c:v>
                </c:pt>
                <c:pt idx="5">
                  <c:v>6.7042567805120578E-4</c:v>
                </c:pt>
                <c:pt idx="6">
                  <c:v>1.1903312694928514E-3</c:v>
                </c:pt>
                <c:pt idx="7">
                  <c:v>2.0365733866798538E-3</c:v>
                </c:pt>
                <c:pt idx="8">
                  <c:v>3.3577418619608703E-3</c:v>
                </c:pt>
                <c:pt idx="9">
                  <c:v>5.3346946405677439E-3</c:v>
                </c:pt>
                <c:pt idx="10">
                  <c:v>8.167456773959348E-3</c:v>
                </c:pt>
                <c:pt idx="11">
                  <c:v>1.2049780703886239E-2</c:v>
                </c:pt>
                <c:pt idx="12">
                  <c:v>1.7131147755974369E-2</c:v>
                </c:pt>
                <c:pt idx="13">
                  <c:v>2.3469768064202999E-2</c:v>
                </c:pt>
                <c:pt idx="14">
                  <c:v>3.0984618544582225E-2</c:v>
                </c:pt>
                <c:pt idx="15">
                  <c:v>3.9418357969819733E-2</c:v>
                </c:pt>
                <c:pt idx="16">
                  <c:v>4.8324339146513247E-2</c:v>
                </c:pt>
                <c:pt idx="17">
                  <c:v>5.7088461245584386E-2</c:v>
                </c:pt>
                <c:pt idx="18">
                  <c:v>6.4989885240913717E-2</c:v>
                </c:pt>
                <c:pt idx="19">
                  <c:v>7.1294860259594431E-2</c:v>
                </c:pt>
                <c:pt idx="20">
                  <c:v>7.5367774839221274E-2</c:v>
                </c:pt>
                <c:pt idx="21">
                  <c:v>7.6776477660296785E-2</c:v>
                </c:pt>
                <c:pt idx="22">
                  <c:v>7.5367774839221274E-2</c:v>
                </c:pt>
                <c:pt idx="23">
                  <c:v>7.1294860259594431E-2</c:v>
                </c:pt>
                <c:pt idx="24">
                  <c:v>6.4989885240913717E-2</c:v>
                </c:pt>
                <c:pt idx="25">
                  <c:v>5.7088461245584386E-2</c:v>
                </c:pt>
                <c:pt idx="26">
                  <c:v>4.8324339146513247E-2</c:v>
                </c:pt>
                <c:pt idx="27">
                  <c:v>3.9418357969819733E-2</c:v>
                </c:pt>
                <c:pt idx="28">
                  <c:v>3.0984618544582225E-2</c:v>
                </c:pt>
                <c:pt idx="29">
                  <c:v>2.3469768064202999E-2</c:v>
                </c:pt>
                <c:pt idx="30">
                  <c:v>1.7131147755974369E-2</c:v>
                </c:pt>
                <c:pt idx="31">
                  <c:v>1.2049780703886239E-2</c:v>
                </c:pt>
                <c:pt idx="32">
                  <c:v>8.167456773959348E-3</c:v>
                </c:pt>
                <c:pt idx="33">
                  <c:v>5.3346946405677439E-3</c:v>
                </c:pt>
                <c:pt idx="34">
                  <c:v>3.3577418619608703E-3</c:v>
                </c:pt>
                <c:pt idx="35">
                  <c:v>2.0365733866798538E-3</c:v>
                </c:pt>
                <c:pt idx="36">
                  <c:v>1.1903312694928514E-3</c:v>
                </c:pt>
                <c:pt idx="37">
                  <c:v>6.7042567805120578E-4</c:v>
                </c:pt>
                <c:pt idx="38">
                  <c:v>3.6387184807010756E-4</c:v>
                </c:pt>
                <c:pt idx="39">
                  <c:v>1.9030986111723684E-4</c:v>
                </c:pt>
                <c:pt idx="40">
                  <c:v>9.5915577792160924E-5</c:v>
                </c:pt>
                <c:pt idx="41">
                  <c:v>4.658348989938462E-5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85-2E47-9D97-34386FF51D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2562143"/>
        <c:axId val="216581055"/>
      </c:lineChart>
      <c:catAx>
        <c:axId val="2225621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216581055"/>
        <c:crosses val="autoZero"/>
        <c:auto val="1"/>
        <c:lblAlgn val="ctr"/>
        <c:lblOffset val="100"/>
        <c:noMultiLvlLbl val="0"/>
      </c:catAx>
      <c:valAx>
        <c:axId val="216581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2225621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'NORM ESE'!$L$17</c:f>
              <c:strCache>
                <c:ptCount val="1"/>
                <c:pt idx="0">
                  <c:v>p(x)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'NORM ESE'!$K$18:$K$59</c:f>
              <c:numCache>
                <c:formatCode>General</c:formatCode>
                <c:ptCount val="42"/>
                <c:pt idx="0">
                  <c:v>154</c:v>
                </c:pt>
                <c:pt idx="1">
                  <c:v>155</c:v>
                </c:pt>
                <c:pt idx="2">
                  <c:v>156</c:v>
                </c:pt>
                <c:pt idx="3">
                  <c:v>157</c:v>
                </c:pt>
                <c:pt idx="4">
                  <c:v>158</c:v>
                </c:pt>
                <c:pt idx="5">
                  <c:v>159</c:v>
                </c:pt>
                <c:pt idx="6">
                  <c:v>160</c:v>
                </c:pt>
                <c:pt idx="7">
                  <c:v>161</c:v>
                </c:pt>
                <c:pt idx="8">
                  <c:v>162</c:v>
                </c:pt>
                <c:pt idx="9">
                  <c:v>163</c:v>
                </c:pt>
                <c:pt idx="10">
                  <c:v>164</c:v>
                </c:pt>
                <c:pt idx="11">
                  <c:v>165</c:v>
                </c:pt>
                <c:pt idx="12">
                  <c:v>166</c:v>
                </c:pt>
                <c:pt idx="13">
                  <c:v>167</c:v>
                </c:pt>
                <c:pt idx="14">
                  <c:v>168</c:v>
                </c:pt>
                <c:pt idx="15">
                  <c:v>169</c:v>
                </c:pt>
                <c:pt idx="16">
                  <c:v>170</c:v>
                </c:pt>
                <c:pt idx="17">
                  <c:v>171</c:v>
                </c:pt>
                <c:pt idx="18">
                  <c:v>172</c:v>
                </c:pt>
                <c:pt idx="19">
                  <c:v>173</c:v>
                </c:pt>
                <c:pt idx="20">
                  <c:v>174</c:v>
                </c:pt>
                <c:pt idx="21">
                  <c:v>175</c:v>
                </c:pt>
                <c:pt idx="22">
                  <c:v>176</c:v>
                </c:pt>
                <c:pt idx="23">
                  <c:v>177</c:v>
                </c:pt>
                <c:pt idx="24">
                  <c:v>178</c:v>
                </c:pt>
                <c:pt idx="25">
                  <c:v>179</c:v>
                </c:pt>
                <c:pt idx="26">
                  <c:v>180</c:v>
                </c:pt>
                <c:pt idx="27">
                  <c:v>181</c:v>
                </c:pt>
                <c:pt idx="28">
                  <c:v>182</c:v>
                </c:pt>
                <c:pt idx="29">
                  <c:v>183</c:v>
                </c:pt>
                <c:pt idx="30">
                  <c:v>184</c:v>
                </c:pt>
                <c:pt idx="31">
                  <c:v>185</c:v>
                </c:pt>
                <c:pt idx="32">
                  <c:v>186</c:v>
                </c:pt>
                <c:pt idx="33">
                  <c:v>187</c:v>
                </c:pt>
                <c:pt idx="34">
                  <c:v>188</c:v>
                </c:pt>
                <c:pt idx="35">
                  <c:v>189</c:v>
                </c:pt>
                <c:pt idx="36">
                  <c:v>190</c:v>
                </c:pt>
                <c:pt idx="37">
                  <c:v>191</c:v>
                </c:pt>
                <c:pt idx="38">
                  <c:v>192</c:v>
                </c:pt>
                <c:pt idx="39">
                  <c:v>193</c:v>
                </c:pt>
                <c:pt idx="40">
                  <c:v>194</c:v>
                </c:pt>
                <c:pt idx="41">
                  <c:v>195</c:v>
                </c:pt>
              </c:numCache>
            </c:numRef>
          </c:cat>
          <c:val>
            <c:numRef>
              <c:f>'NORM ESE'!$L$18:$L$59</c:f>
              <c:numCache>
                <c:formatCode>General</c:formatCode>
                <c:ptCount val="42"/>
                <c:pt idx="0">
                  <c:v>2.180167768999956E-5</c:v>
                </c:pt>
                <c:pt idx="1">
                  <c:v>4.658348989938462E-5</c:v>
                </c:pt>
                <c:pt idx="2">
                  <c:v>9.5915577792160924E-5</c:v>
                </c:pt>
                <c:pt idx="3">
                  <c:v>1.9030986111723684E-4</c:v>
                </c:pt>
                <c:pt idx="4">
                  <c:v>3.6387184807010756E-4</c:v>
                </c:pt>
                <c:pt idx="5">
                  <c:v>6.7042567805120578E-4</c:v>
                </c:pt>
                <c:pt idx="6">
                  <c:v>1.1903312694928514E-3</c:v>
                </c:pt>
                <c:pt idx="7">
                  <c:v>2.0365733866798538E-3</c:v>
                </c:pt>
                <c:pt idx="8">
                  <c:v>3.3577418619608703E-3</c:v>
                </c:pt>
                <c:pt idx="9">
                  <c:v>5.3346946405677439E-3</c:v>
                </c:pt>
                <c:pt idx="10">
                  <c:v>8.167456773959348E-3</c:v>
                </c:pt>
                <c:pt idx="11">
                  <c:v>1.2049780703886239E-2</c:v>
                </c:pt>
                <c:pt idx="12">
                  <c:v>1.7131147755974369E-2</c:v>
                </c:pt>
                <c:pt idx="13">
                  <c:v>2.3469768064202999E-2</c:v>
                </c:pt>
                <c:pt idx="14">
                  <c:v>3.0984618544582225E-2</c:v>
                </c:pt>
                <c:pt idx="15">
                  <c:v>3.9418357969819733E-2</c:v>
                </c:pt>
                <c:pt idx="16">
                  <c:v>4.8324339146513247E-2</c:v>
                </c:pt>
                <c:pt idx="17">
                  <c:v>5.7088461245584386E-2</c:v>
                </c:pt>
                <c:pt idx="18">
                  <c:v>6.4989885240913717E-2</c:v>
                </c:pt>
                <c:pt idx="19">
                  <c:v>7.1294860259594431E-2</c:v>
                </c:pt>
                <c:pt idx="20">
                  <c:v>7.5367774839221274E-2</c:v>
                </c:pt>
                <c:pt idx="21">
                  <c:v>7.6776477660296785E-2</c:v>
                </c:pt>
                <c:pt idx="22">
                  <c:v>7.5367774839221274E-2</c:v>
                </c:pt>
                <c:pt idx="23">
                  <c:v>7.1294860259594431E-2</c:v>
                </c:pt>
                <c:pt idx="24">
                  <c:v>6.4989885240913717E-2</c:v>
                </c:pt>
                <c:pt idx="25">
                  <c:v>5.7088461245584386E-2</c:v>
                </c:pt>
                <c:pt idx="26">
                  <c:v>4.8324339146513247E-2</c:v>
                </c:pt>
                <c:pt idx="27">
                  <c:v>3.9418357969819733E-2</c:v>
                </c:pt>
                <c:pt idx="28">
                  <c:v>3.0984618544582225E-2</c:v>
                </c:pt>
                <c:pt idx="29">
                  <c:v>2.3469768064202999E-2</c:v>
                </c:pt>
                <c:pt idx="30">
                  <c:v>1.7131147755974369E-2</c:v>
                </c:pt>
                <c:pt idx="31">
                  <c:v>1.2049780703886239E-2</c:v>
                </c:pt>
                <c:pt idx="32">
                  <c:v>8.167456773959348E-3</c:v>
                </c:pt>
                <c:pt idx="33">
                  <c:v>5.3346946405677439E-3</c:v>
                </c:pt>
                <c:pt idx="34">
                  <c:v>3.3577418619608703E-3</c:v>
                </c:pt>
                <c:pt idx="35">
                  <c:v>2.0365733866798538E-3</c:v>
                </c:pt>
                <c:pt idx="36">
                  <c:v>1.1903312694928514E-3</c:v>
                </c:pt>
                <c:pt idx="37">
                  <c:v>6.7042567805120578E-4</c:v>
                </c:pt>
                <c:pt idx="38">
                  <c:v>3.6387184807010756E-4</c:v>
                </c:pt>
                <c:pt idx="39">
                  <c:v>1.9030986111723684E-4</c:v>
                </c:pt>
                <c:pt idx="40">
                  <c:v>9.5915577792160924E-5</c:v>
                </c:pt>
                <c:pt idx="41">
                  <c:v>4.658348989938462E-5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06-7E4C-993E-7C25E704CC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22562143"/>
        <c:axId val="216581055"/>
      </c:lineChart>
      <c:catAx>
        <c:axId val="2225621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216581055"/>
        <c:crosses val="autoZero"/>
        <c:auto val="1"/>
        <c:lblAlgn val="ctr"/>
        <c:lblOffset val="100"/>
        <c:noMultiLvlLbl val="0"/>
      </c:catAx>
      <c:valAx>
        <c:axId val="216581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2225621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it-IT"/>
              <a:t>binomiale</a:t>
            </a:r>
            <a:r>
              <a:rPr lang="it-IT" baseline="0"/>
              <a:t> n=1000  pi=0,001</a:t>
            </a:r>
            <a:endParaRPr lang="it-IT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'[1]Poisson01-2'!$O$8</c:f>
              <c:strCache>
                <c:ptCount val="1"/>
                <c:pt idx="0">
                  <c:v>p(x)bin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'[1]Poisson01-2'!$N$9:$N$31</c:f>
              <c:numCache>
                <c:formatCode>General</c:formatCode>
                <c:ptCount val="2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</c:numCache>
            </c:numRef>
          </c:cat>
          <c:val>
            <c:numRef>
              <c:f>'[1]Poisson01-2'!$O$9:$O$31</c:f>
              <c:numCache>
                <c:formatCode>General</c:formatCode>
                <c:ptCount val="23"/>
                <c:pt idx="0">
                  <c:v>0.36769542477096406</c:v>
                </c:pt>
                <c:pt idx="1">
                  <c:v>0.36806348825922314</c:v>
                </c:pt>
                <c:pt idx="2">
                  <c:v>0.18403174412961162</c:v>
                </c:pt>
                <c:pt idx="3">
                  <c:v>6.1282509389840645E-2</c:v>
                </c:pt>
                <c:pt idx="4">
                  <c:v>1.5289955420838618E-2</c:v>
                </c:pt>
                <c:pt idx="5">
                  <c:v>3.0488079277588126E-3</c:v>
                </c:pt>
                <c:pt idx="6">
                  <c:v>5.0610008143477038E-4</c:v>
                </c:pt>
                <c:pt idx="7">
                  <c:v>7.1938149713450907E-5</c:v>
                </c:pt>
                <c:pt idx="8">
                  <c:v>8.9382610942764039E-6</c:v>
                </c:pt>
                <c:pt idx="9">
                  <c:v>9.8618118179536839E-7</c:v>
                </c:pt>
                <c:pt idx="10">
                  <c:v>9.7828383499420175E-8</c:v>
                </c:pt>
                <c:pt idx="11">
                  <c:v>8.8133678828306727E-9</c:v>
                </c:pt>
                <c:pt idx="12">
                  <c:v>7.270954985084665E-10</c:v>
                </c:pt>
                <c:pt idx="13">
                  <c:v>5.5314572459102705E-11</c:v>
                </c:pt>
                <c:pt idx="14">
                  <c:v>3.9035809393060684E-12</c:v>
                </c:pt>
                <c:pt idx="15">
                  <c:v>2.5685223931636851E-13</c:v>
                </c:pt>
                <c:pt idx="16">
                  <c:v>1.5828294277191098E-14</c:v>
                </c:pt>
                <c:pt idx="17">
                  <c:v>9.1709601182099663E-16</c:v>
                </c:pt>
                <c:pt idx="18">
                  <c:v>5.0133765967080633E-17</c:v>
                </c:pt>
                <c:pt idx="19">
                  <c:v>2.5937178325522088E-18</c:v>
                </c:pt>
                <c:pt idx="20">
                  <c:v>1.2734920889558119E-19</c:v>
                </c:pt>
                <c:pt idx="21">
                  <c:v>5.9489119937875282E-21</c:v>
                </c:pt>
                <c:pt idx="22">
                  <c:v>2.6499157529884214E-22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48-1242-BC28-92A7AE3561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88805359"/>
        <c:axId val="688508623"/>
      </c:barChart>
      <c:catAx>
        <c:axId val="6888053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88508623"/>
        <c:crosses val="autoZero"/>
        <c:auto val="1"/>
        <c:lblAlgn val="ctr"/>
        <c:lblOffset val="100"/>
        <c:noMultiLvlLbl val="0"/>
      </c:catAx>
      <c:valAx>
        <c:axId val="6885086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888053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it-IT"/>
              <a:t>Normale</a:t>
            </a:r>
            <a:r>
              <a:rPr lang="it-IT" baseline="0"/>
              <a:t> (media=20.000; ds=44,72)</a:t>
            </a:r>
            <a:endParaRPr lang="it-IT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Normale02!$O$145</c:f>
              <c:strCache>
                <c:ptCount val="1"/>
                <c:pt idx="0">
                  <c:v>p(x)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Normale02!$N$146:$N$174</c:f>
              <c:numCache>
                <c:formatCode>General</c:formatCode>
                <c:ptCount val="29"/>
                <c:pt idx="0">
                  <c:v>19800</c:v>
                </c:pt>
                <c:pt idx="1">
                  <c:v>19815</c:v>
                </c:pt>
                <c:pt idx="2">
                  <c:v>19830</c:v>
                </c:pt>
                <c:pt idx="3">
                  <c:v>19845</c:v>
                </c:pt>
                <c:pt idx="4">
                  <c:v>19860</c:v>
                </c:pt>
                <c:pt idx="5">
                  <c:v>19875</c:v>
                </c:pt>
                <c:pt idx="6">
                  <c:v>19890</c:v>
                </c:pt>
                <c:pt idx="7">
                  <c:v>19905</c:v>
                </c:pt>
                <c:pt idx="8">
                  <c:v>19920</c:v>
                </c:pt>
                <c:pt idx="9">
                  <c:v>19935</c:v>
                </c:pt>
                <c:pt idx="10">
                  <c:v>19950</c:v>
                </c:pt>
                <c:pt idx="11">
                  <c:v>19965</c:v>
                </c:pt>
                <c:pt idx="12">
                  <c:v>19980</c:v>
                </c:pt>
                <c:pt idx="13">
                  <c:v>19995</c:v>
                </c:pt>
                <c:pt idx="14">
                  <c:v>20010</c:v>
                </c:pt>
                <c:pt idx="15">
                  <c:v>20025</c:v>
                </c:pt>
                <c:pt idx="16">
                  <c:v>20040</c:v>
                </c:pt>
                <c:pt idx="17">
                  <c:v>20055</c:v>
                </c:pt>
                <c:pt idx="18">
                  <c:v>20070</c:v>
                </c:pt>
                <c:pt idx="19">
                  <c:v>20085</c:v>
                </c:pt>
                <c:pt idx="20">
                  <c:v>20100</c:v>
                </c:pt>
                <c:pt idx="21">
                  <c:v>20115</c:v>
                </c:pt>
                <c:pt idx="22">
                  <c:v>20130</c:v>
                </c:pt>
                <c:pt idx="23">
                  <c:v>20145</c:v>
                </c:pt>
                <c:pt idx="24">
                  <c:v>20160</c:v>
                </c:pt>
                <c:pt idx="25">
                  <c:v>20175</c:v>
                </c:pt>
                <c:pt idx="26">
                  <c:v>20190</c:v>
                </c:pt>
                <c:pt idx="27">
                  <c:v>20205</c:v>
                </c:pt>
                <c:pt idx="28">
                  <c:v>20220</c:v>
                </c:pt>
              </c:numCache>
            </c:numRef>
          </c:xVal>
          <c:yVal>
            <c:numRef>
              <c:f>Normale02!$O$146:$O$174</c:f>
              <c:numCache>
                <c:formatCode>General</c:formatCode>
                <c:ptCount val="29"/>
                <c:pt idx="0">
                  <c:v>4.0499554780445518E-7</c:v>
                </c:pt>
                <c:pt idx="1">
                  <c:v>1.7157851598214379E-6</c:v>
                </c:pt>
                <c:pt idx="2">
                  <c:v>6.4955725261369099E-6</c:v>
                </c:pt>
                <c:pt idx="3">
                  <c:v>2.1974238610586212E-5</c:v>
                </c:pt>
                <c:pt idx="4">
                  <c:v>6.642814219885536E-5</c:v>
                </c:pt>
                <c:pt idx="5">
                  <c:v>1.7944536619335158E-4</c:v>
                </c:pt>
                <c:pt idx="6">
                  <c:v>4.3316589977830406E-4</c:v>
                </c:pt>
                <c:pt idx="7">
                  <c:v>9.3436840184968177E-4</c:v>
                </c:pt>
                <c:pt idx="8">
                  <c:v>1.8010422336076834E-3</c:v>
                </c:pt>
                <c:pt idx="9">
                  <c:v>3.102212343051431E-3</c:v>
                </c:pt>
                <c:pt idx="10">
                  <c:v>4.7748641153355651E-3</c:v>
                </c:pt>
                <c:pt idx="11">
                  <c:v>6.567383581775923E-3</c:v>
                </c:pt>
                <c:pt idx="12">
                  <c:v>8.0717112935768092E-3</c:v>
                </c:pt>
                <c:pt idx="13">
                  <c:v>8.8650405705902671E-3</c:v>
                </c:pt>
                <c:pt idx="14">
                  <c:v>8.7003696738629302E-3</c:v>
                </c:pt>
                <c:pt idx="15">
                  <c:v>7.6302111304387896E-3</c:v>
                </c:pt>
                <c:pt idx="16">
                  <c:v>5.9796707983640991E-3</c:v>
                </c:pt>
                <c:pt idx="17">
                  <c:v>4.1875486542389635E-3</c:v>
                </c:pt>
                <c:pt idx="18">
                  <c:v>2.6205009872639676E-3</c:v>
                </c:pt>
                <c:pt idx="19">
                  <c:v>1.4653813503578313E-3</c:v>
                </c:pt>
                <c:pt idx="20">
                  <c:v>7.3224912809632405E-4</c:v>
                </c:pt>
                <c:pt idx="21">
                  <c:v>3.2697077538386513E-4</c:v>
                </c:pt>
                <c:pt idx="22">
                  <c:v>1.304670618109662E-4</c:v>
                </c:pt>
                <c:pt idx="23">
                  <c:v>4.6519463503661924E-5</c:v>
                </c:pt>
                <c:pt idx="24">
                  <c:v>1.482212200719328E-5</c:v>
                </c:pt>
                <c:pt idx="25">
                  <c:v>4.2201505171737314E-6</c:v>
                </c:pt>
                <c:pt idx="26">
                  <c:v>1.0737109169331118E-6</c:v>
                </c:pt>
                <c:pt idx="27">
                  <c:v>2.4411174065551265E-7</c:v>
                </c:pt>
                <c:pt idx="28">
                  <c:v>4.9594308242493561E-8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9BF-ED44-9DBF-66CB7B907A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4494383"/>
        <c:axId val="644503295"/>
      </c:scatterChart>
      <c:valAx>
        <c:axId val="6444943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44503295"/>
        <c:crosses val="autoZero"/>
        <c:crossBetween val="midCat"/>
      </c:valAx>
      <c:valAx>
        <c:axId val="64450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444943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'norm.st-1'!$L$12</c:f>
              <c:strCache>
                <c:ptCount val="1"/>
                <c:pt idx="0">
                  <c:v>p(x)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'norm.st-1'!$K$13:$K$135</c:f>
              <c:numCache>
                <c:formatCode>General</c:formatCode>
                <c:ptCount val="123"/>
                <c:pt idx="0">
                  <c:v>30</c:v>
                </c:pt>
                <c:pt idx="1">
                  <c:v>32</c:v>
                </c:pt>
                <c:pt idx="2">
                  <c:v>31</c:v>
                </c:pt>
                <c:pt idx="3">
                  <c:v>33</c:v>
                </c:pt>
                <c:pt idx="4">
                  <c:v>32</c:v>
                </c:pt>
                <c:pt idx="5">
                  <c:v>34</c:v>
                </c:pt>
                <c:pt idx="6">
                  <c:v>33</c:v>
                </c:pt>
                <c:pt idx="7">
                  <c:v>35</c:v>
                </c:pt>
                <c:pt idx="8">
                  <c:v>34</c:v>
                </c:pt>
                <c:pt idx="9">
                  <c:v>36</c:v>
                </c:pt>
                <c:pt idx="10">
                  <c:v>35</c:v>
                </c:pt>
                <c:pt idx="11">
                  <c:v>37</c:v>
                </c:pt>
                <c:pt idx="12">
                  <c:v>36</c:v>
                </c:pt>
                <c:pt idx="13">
                  <c:v>38</c:v>
                </c:pt>
                <c:pt idx="14">
                  <c:v>37</c:v>
                </c:pt>
                <c:pt idx="15">
                  <c:v>39</c:v>
                </c:pt>
                <c:pt idx="16">
                  <c:v>38</c:v>
                </c:pt>
                <c:pt idx="17">
                  <c:v>40</c:v>
                </c:pt>
                <c:pt idx="18">
                  <c:v>39</c:v>
                </c:pt>
                <c:pt idx="19">
                  <c:v>41</c:v>
                </c:pt>
                <c:pt idx="20">
                  <c:v>40</c:v>
                </c:pt>
                <c:pt idx="21">
                  <c:v>42</c:v>
                </c:pt>
                <c:pt idx="22">
                  <c:v>41</c:v>
                </c:pt>
                <c:pt idx="23">
                  <c:v>43</c:v>
                </c:pt>
                <c:pt idx="24">
                  <c:v>42</c:v>
                </c:pt>
                <c:pt idx="25">
                  <c:v>44</c:v>
                </c:pt>
                <c:pt idx="26">
                  <c:v>43</c:v>
                </c:pt>
                <c:pt idx="27">
                  <c:v>45</c:v>
                </c:pt>
                <c:pt idx="28">
                  <c:v>44</c:v>
                </c:pt>
                <c:pt idx="29">
                  <c:v>46</c:v>
                </c:pt>
                <c:pt idx="30">
                  <c:v>45</c:v>
                </c:pt>
                <c:pt idx="31">
                  <c:v>47</c:v>
                </c:pt>
                <c:pt idx="32">
                  <c:v>46</c:v>
                </c:pt>
                <c:pt idx="33">
                  <c:v>48</c:v>
                </c:pt>
                <c:pt idx="34">
                  <c:v>47</c:v>
                </c:pt>
                <c:pt idx="35">
                  <c:v>49</c:v>
                </c:pt>
                <c:pt idx="36">
                  <c:v>48</c:v>
                </c:pt>
                <c:pt idx="37">
                  <c:v>50</c:v>
                </c:pt>
                <c:pt idx="38">
                  <c:v>49</c:v>
                </c:pt>
                <c:pt idx="39">
                  <c:v>51</c:v>
                </c:pt>
                <c:pt idx="40">
                  <c:v>50</c:v>
                </c:pt>
                <c:pt idx="41">
                  <c:v>52</c:v>
                </c:pt>
                <c:pt idx="42">
                  <c:v>51</c:v>
                </c:pt>
                <c:pt idx="43">
                  <c:v>53</c:v>
                </c:pt>
                <c:pt idx="44">
                  <c:v>52</c:v>
                </c:pt>
                <c:pt idx="45">
                  <c:v>54</c:v>
                </c:pt>
                <c:pt idx="46">
                  <c:v>53</c:v>
                </c:pt>
                <c:pt idx="47">
                  <c:v>55</c:v>
                </c:pt>
                <c:pt idx="48">
                  <c:v>54</c:v>
                </c:pt>
                <c:pt idx="49">
                  <c:v>56</c:v>
                </c:pt>
                <c:pt idx="50">
                  <c:v>55</c:v>
                </c:pt>
                <c:pt idx="51">
                  <c:v>57</c:v>
                </c:pt>
                <c:pt idx="52">
                  <c:v>56</c:v>
                </c:pt>
                <c:pt idx="53">
                  <c:v>58</c:v>
                </c:pt>
                <c:pt idx="54">
                  <c:v>57</c:v>
                </c:pt>
                <c:pt idx="55">
                  <c:v>59</c:v>
                </c:pt>
                <c:pt idx="56">
                  <c:v>58</c:v>
                </c:pt>
                <c:pt idx="57">
                  <c:v>60</c:v>
                </c:pt>
                <c:pt idx="58">
                  <c:v>59</c:v>
                </c:pt>
                <c:pt idx="59">
                  <c:v>61</c:v>
                </c:pt>
                <c:pt idx="60">
                  <c:v>60</c:v>
                </c:pt>
                <c:pt idx="61">
                  <c:v>62</c:v>
                </c:pt>
                <c:pt idx="62">
                  <c:v>61</c:v>
                </c:pt>
                <c:pt idx="63">
                  <c:v>63</c:v>
                </c:pt>
                <c:pt idx="64">
                  <c:v>62</c:v>
                </c:pt>
                <c:pt idx="65">
                  <c:v>64</c:v>
                </c:pt>
                <c:pt idx="66">
                  <c:v>63</c:v>
                </c:pt>
                <c:pt idx="67">
                  <c:v>65</c:v>
                </c:pt>
                <c:pt idx="68">
                  <c:v>64</c:v>
                </c:pt>
                <c:pt idx="69">
                  <c:v>66</c:v>
                </c:pt>
                <c:pt idx="70">
                  <c:v>65</c:v>
                </c:pt>
                <c:pt idx="71">
                  <c:v>67</c:v>
                </c:pt>
                <c:pt idx="72">
                  <c:v>66</c:v>
                </c:pt>
                <c:pt idx="73">
                  <c:v>68</c:v>
                </c:pt>
                <c:pt idx="74">
                  <c:v>67</c:v>
                </c:pt>
                <c:pt idx="75">
                  <c:v>69</c:v>
                </c:pt>
                <c:pt idx="76">
                  <c:v>68</c:v>
                </c:pt>
                <c:pt idx="77">
                  <c:v>70</c:v>
                </c:pt>
                <c:pt idx="78">
                  <c:v>69</c:v>
                </c:pt>
                <c:pt idx="79">
                  <c:v>71</c:v>
                </c:pt>
                <c:pt idx="80">
                  <c:v>70</c:v>
                </c:pt>
                <c:pt idx="81">
                  <c:v>72</c:v>
                </c:pt>
                <c:pt idx="82">
                  <c:v>71</c:v>
                </c:pt>
                <c:pt idx="83">
                  <c:v>73</c:v>
                </c:pt>
                <c:pt idx="84">
                  <c:v>72</c:v>
                </c:pt>
                <c:pt idx="85">
                  <c:v>74</c:v>
                </c:pt>
                <c:pt idx="86">
                  <c:v>73</c:v>
                </c:pt>
                <c:pt idx="87">
                  <c:v>75</c:v>
                </c:pt>
                <c:pt idx="88">
                  <c:v>74</c:v>
                </c:pt>
                <c:pt idx="89">
                  <c:v>76</c:v>
                </c:pt>
                <c:pt idx="90">
                  <c:v>75</c:v>
                </c:pt>
                <c:pt idx="91">
                  <c:v>77</c:v>
                </c:pt>
                <c:pt idx="92">
                  <c:v>76</c:v>
                </c:pt>
                <c:pt idx="93">
                  <c:v>78</c:v>
                </c:pt>
                <c:pt idx="94">
                  <c:v>77</c:v>
                </c:pt>
                <c:pt idx="95">
                  <c:v>79</c:v>
                </c:pt>
                <c:pt idx="96">
                  <c:v>78</c:v>
                </c:pt>
                <c:pt idx="97">
                  <c:v>80</c:v>
                </c:pt>
                <c:pt idx="98">
                  <c:v>79</c:v>
                </c:pt>
                <c:pt idx="99">
                  <c:v>81</c:v>
                </c:pt>
                <c:pt idx="100">
                  <c:v>80</c:v>
                </c:pt>
                <c:pt idx="101">
                  <c:v>82</c:v>
                </c:pt>
                <c:pt idx="102">
                  <c:v>81</c:v>
                </c:pt>
                <c:pt idx="103">
                  <c:v>83</c:v>
                </c:pt>
                <c:pt idx="104">
                  <c:v>82</c:v>
                </c:pt>
                <c:pt idx="105">
                  <c:v>84</c:v>
                </c:pt>
                <c:pt idx="106">
                  <c:v>83</c:v>
                </c:pt>
                <c:pt idx="107">
                  <c:v>85</c:v>
                </c:pt>
                <c:pt idx="108">
                  <c:v>84</c:v>
                </c:pt>
                <c:pt idx="109">
                  <c:v>86</c:v>
                </c:pt>
                <c:pt idx="110">
                  <c:v>85</c:v>
                </c:pt>
                <c:pt idx="111">
                  <c:v>87</c:v>
                </c:pt>
                <c:pt idx="112">
                  <c:v>86</c:v>
                </c:pt>
                <c:pt idx="113">
                  <c:v>88</c:v>
                </c:pt>
                <c:pt idx="114">
                  <c:v>87</c:v>
                </c:pt>
                <c:pt idx="115">
                  <c:v>89</c:v>
                </c:pt>
                <c:pt idx="116">
                  <c:v>88</c:v>
                </c:pt>
                <c:pt idx="117">
                  <c:v>90</c:v>
                </c:pt>
                <c:pt idx="118">
                  <c:v>89</c:v>
                </c:pt>
                <c:pt idx="119">
                  <c:v>91</c:v>
                </c:pt>
                <c:pt idx="120">
                  <c:v>90</c:v>
                </c:pt>
                <c:pt idx="121">
                  <c:v>92</c:v>
                </c:pt>
                <c:pt idx="122">
                  <c:v>91</c:v>
                </c:pt>
              </c:numCache>
            </c:numRef>
          </c:xVal>
          <c:yVal>
            <c:numRef>
              <c:f>'norm.st-1'!$L$13:$L$135</c:f>
              <c:numCache>
                <c:formatCode>General</c:formatCode>
                <c:ptCount val="123"/>
                <c:pt idx="0">
                  <c:v>3.743678748748065E-6</c:v>
                </c:pt>
                <c:pt idx="1">
                  <c:v>1.4447694664147423E-5</c:v>
                </c:pt>
                <c:pt idx="2">
                  <c:v>7.4476566439612217E-6</c:v>
                </c:pt>
                <c:pt idx="3">
                  <c:v>2.7329727366220936E-5</c:v>
                </c:pt>
                <c:pt idx="4">
                  <c:v>1.4447694664147423E-5</c:v>
                </c:pt>
                <c:pt idx="5">
                  <c:v>5.0411530175006208E-5</c:v>
                </c:pt>
                <c:pt idx="6">
                  <c:v>2.7329727366220936E-5</c:v>
                </c:pt>
                <c:pt idx="7">
                  <c:v>9.0673900275426626E-5</c:v>
                </c:pt>
                <c:pt idx="8">
                  <c:v>5.0411530175006208E-5</c:v>
                </c:pt>
                <c:pt idx="9">
                  <c:v>1.5903494028092269E-4</c:v>
                </c:pt>
                <c:pt idx="10">
                  <c:v>9.0673900275426626E-5</c:v>
                </c:pt>
                <c:pt idx="11">
                  <c:v>2.7199482390689183E-4</c:v>
                </c:pt>
                <c:pt idx="12">
                  <c:v>1.5903494028092269E-4</c:v>
                </c:pt>
                <c:pt idx="13">
                  <c:v>4.5361412021827259E-4</c:v>
                </c:pt>
                <c:pt idx="14">
                  <c:v>2.7199482390689183E-4</c:v>
                </c:pt>
                <c:pt idx="15">
                  <c:v>7.3768393659100749E-4</c:v>
                </c:pt>
                <c:pt idx="16">
                  <c:v>4.5361412021827259E-4</c:v>
                </c:pt>
                <c:pt idx="17">
                  <c:v>1.169800828068912E-3</c:v>
                </c:pt>
                <c:pt idx="18">
                  <c:v>7.3768393659100749E-4</c:v>
                </c:pt>
                <c:pt idx="19">
                  <c:v>1.808886670444041E-3</c:v>
                </c:pt>
                <c:pt idx="20">
                  <c:v>1.169800828068912E-3</c:v>
                </c:pt>
                <c:pt idx="21">
                  <c:v>2.7275243014091262E-3</c:v>
                </c:pt>
                <c:pt idx="22">
                  <c:v>1.808886670444041E-3</c:v>
                </c:pt>
                <c:pt idx="23">
                  <c:v>4.0103634647691662E-3</c:v>
                </c:pt>
                <c:pt idx="24">
                  <c:v>2.7275243014091262E-3</c:v>
                </c:pt>
                <c:pt idx="25">
                  <c:v>5.7498521524335742E-3</c:v>
                </c:pt>
                <c:pt idx="26">
                  <c:v>4.0103634647691662E-3</c:v>
                </c:pt>
                <c:pt idx="27">
                  <c:v>8.0387302661403381E-3</c:v>
                </c:pt>
                <c:pt idx="28">
                  <c:v>5.7498521524335742E-3</c:v>
                </c:pt>
                <c:pt idx="29">
                  <c:v>1.0959129816852887E-2</c:v>
                </c:pt>
                <c:pt idx="30">
                  <c:v>8.0387302661403381E-3</c:v>
                </c:pt>
                <c:pt idx="31">
                  <c:v>1.4568757772080648E-2</c:v>
                </c:pt>
                <c:pt idx="32">
                  <c:v>1.0959129816852887E-2</c:v>
                </c:pt>
                <c:pt idx="33">
                  <c:v>1.8885427051440733E-2</c:v>
                </c:pt>
                <c:pt idx="34">
                  <c:v>1.4568757772080648E-2</c:v>
                </c:pt>
                <c:pt idx="35">
                  <c:v>2.3872007012410917E-2</c:v>
                </c:pt>
                <c:pt idx="36">
                  <c:v>1.8885427051440733E-2</c:v>
                </c:pt>
                <c:pt idx="37">
                  <c:v>2.9424486536364022E-2</c:v>
                </c:pt>
                <c:pt idx="38">
                  <c:v>2.3872007012410917E-2</c:v>
                </c:pt>
                <c:pt idx="39">
                  <c:v>3.5366060775490545E-2</c:v>
                </c:pt>
                <c:pt idx="40">
                  <c:v>2.9424486536364022E-2</c:v>
                </c:pt>
                <c:pt idx="41">
                  <c:v>4.1449788698902243E-2</c:v>
                </c:pt>
                <c:pt idx="42">
                  <c:v>3.5366060775490545E-2</c:v>
                </c:pt>
                <c:pt idx="43">
                  <c:v>4.7371353017261385E-2</c:v>
                </c:pt>
                <c:pt idx="44">
                  <c:v>4.1449788698902243E-2</c:v>
                </c:pt>
                <c:pt idx="45">
                  <c:v>5.2791875798595247E-2</c:v>
                </c:pt>
                <c:pt idx="46">
                  <c:v>4.7371353017261385E-2</c:v>
                </c:pt>
                <c:pt idx="47">
                  <c:v>5.7368861886149772E-2</c:v>
                </c:pt>
                <c:pt idx="48">
                  <c:v>5.2791875798595247E-2</c:v>
                </c:pt>
                <c:pt idx="49">
                  <c:v>6.0791549197494008E-2</c:v>
                </c:pt>
                <c:pt idx="50">
                  <c:v>5.7368861886149772E-2</c:v>
                </c:pt>
                <c:pt idx="51">
                  <c:v>6.2815673987876824E-2</c:v>
                </c:pt>
                <c:pt idx="52">
                  <c:v>6.0791549197494008E-2</c:v>
                </c:pt>
                <c:pt idx="53">
                  <c:v>6.3292270147125823E-2</c:v>
                </c:pt>
                <c:pt idx="54">
                  <c:v>6.2815673987876824E-2</c:v>
                </c:pt>
                <c:pt idx="55">
                  <c:v>6.2185790358034981E-2</c:v>
                </c:pt>
                <c:pt idx="56">
                  <c:v>6.3292270147125823E-2</c:v>
                </c:pt>
                <c:pt idx="57">
                  <c:v>5.9578488351355201E-2</c:v>
                </c:pt>
                <c:pt idx="58">
                  <c:v>6.2185790358034981E-2</c:v>
                </c:pt>
                <c:pt idx="59">
                  <c:v>5.5660312155227924E-2</c:v>
                </c:pt>
                <c:pt idx="60">
                  <c:v>5.9578488351355201E-2</c:v>
                </c:pt>
                <c:pt idx="61">
                  <c:v>5.070603262259557E-2</c:v>
                </c:pt>
                <c:pt idx="62">
                  <c:v>5.5660312155227924E-2</c:v>
                </c:pt>
                <c:pt idx="63">
                  <c:v>4.5043430776155281E-2</c:v>
                </c:pt>
                <c:pt idx="64">
                  <c:v>5.070603262259557E-2</c:v>
                </c:pt>
                <c:pt idx="65">
                  <c:v>3.9017651719920547E-2</c:v>
                </c:pt>
                <c:pt idx="66">
                  <c:v>4.5043430776155281E-2</c:v>
                </c:pt>
                <c:pt idx="67">
                  <c:v>3.2957072716698482E-2</c:v>
                </c:pt>
                <c:pt idx="68">
                  <c:v>3.9017651719920547E-2</c:v>
                </c:pt>
                <c:pt idx="69">
                  <c:v>2.714525769402603E-2</c:v>
                </c:pt>
                <c:pt idx="70">
                  <c:v>3.2957072716698482E-2</c:v>
                </c:pt>
                <c:pt idx="71">
                  <c:v>2.1802040578351653E-2</c:v>
                </c:pt>
                <c:pt idx="72">
                  <c:v>2.714525769402603E-2</c:v>
                </c:pt>
                <c:pt idx="73">
                  <c:v>1.7074899437958563E-2</c:v>
                </c:pt>
                <c:pt idx="74">
                  <c:v>2.1802040578351653E-2</c:v>
                </c:pt>
                <c:pt idx="75">
                  <c:v>1.3039982295619963E-2</c:v>
                </c:pt>
                <c:pt idx="76">
                  <c:v>1.7074899437958563E-2</c:v>
                </c:pt>
                <c:pt idx="77">
                  <c:v>9.7107703830961387E-3</c:v>
                </c:pt>
                <c:pt idx="78">
                  <c:v>1.3039982295619963E-2</c:v>
                </c:pt>
                <c:pt idx="79">
                  <c:v>7.0516086952067047E-3</c:v>
                </c:pt>
                <c:pt idx="80">
                  <c:v>9.7107703830961387E-3</c:v>
                </c:pt>
                <c:pt idx="81">
                  <c:v>4.9932183781898291E-3</c:v>
                </c:pt>
                <c:pt idx="82">
                  <c:v>7.0516086952067047E-3</c:v>
                </c:pt>
                <c:pt idx="83">
                  <c:v>3.4477101879881772E-3</c:v>
                </c:pt>
                <c:pt idx="84">
                  <c:v>4.9932183781898291E-3</c:v>
                </c:pt>
                <c:pt idx="85">
                  <c:v>2.3213401352273006E-3</c:v>
                </c:pt>
                <c:pt idx="86">
                  <c:v>3.4477101879881772E-3</c:v>
                </c:pt>
                <c:pt idx="87">
                  <c:v>1.5240690527616142E-3</c:v>
                </c:pt>
                <c:pt idx="88">
                  <c:v>2.3213401352273006E-3</c:v>
                </c:pt>
                <c:pt idx="89">
                  <c:v>9.7572704977958824E-4</c:v>
                </c:pt>
                <c:pt idx="90">
                  <c:v>1.5240690527616142E-3</c:v>
                </c:pt>
                <c:pt idx="91">
                  <c:v>6.0912984895473683E-4</c:v>
                </c:pt>
                <c:pt idx="92">
                  <c:v>9.7572704977958824E-4</c:v>
                </c:pt>
                <c:pt idx="93">
                  <c:v>3.708081358648268E-4</c:v>
                </c:pt>
                <c:pt idx="94">
                  <c:v>6.0912984895473683E-4</c:v>
                </c:pt>
                <c:pt idx="95">
                  <c:v>2.2011339045233629E-4</c:v>
                </c:pt>
                <c:pt idx="96">
                  <c:v>3.708081358648268E-4</c:v>
                </c:pt>
                <c:pt idx="97">
                  <c:v>1.274094111535543E-4</c:v>
                </c:pt>
                <c:pt idx="98">
                  <c:v>2.2011339045233629E-4</c:v>
                </c:pt>
                <c:pt idx="99">
                  <c:v>7.1914156338910421E-5</c:v>
                </c:pt>
                <c:pt idx="100">
                  <c:v>1.274094111535543E-4</c:v>
                </c:pt>
                <c:pt idx="101">
                  <c:v>3.9580849176757873E-5</c:v>
                </c:pt>
                <c:pt idx="102">
                  <c:v>7.1914156338910421E-5</c:v>
                </c:pt>
                <c:pt idx="103">
                  <c:v>2.124289297855316E-5</c:v>
                </c:pt>
                <c:pt idx="104">
                  <c:v>3.9580849176757873E-5</c:v>
                </c:pt>
                <c:pt idx="105">
                  <c:v>1.1117318579372645E-5</c:v>
                </c:pt>
                <c:pt idx="106">
                  <c:v>2.124289297855316E-5</c:v>
                </c:pt>
                <c:pt idx="107">
                  <c:v>5.6734114015622951E-6</c:v>
                </c:pt>
                <c:pt idx="108">
                  <c:v>1.1117318579372645E-5</c:v>
                </c:pt>
                <c:pt idx="109">
                  <c:v>2.8232305144793828E-6</c:v>
                </c:pt>
                <c:pt idx="110">
                  <c:v>5.6734114015622951E-6</c:v>
                </c:pt>
                <c:pt idx="111">
                  <c:v>1.3699547983019803E-6</c:v>
                </c:pt>
                <c:pt idx="112">
                  <c:v>2.8232305144793828E-6</c:v>
                </c:pt>
                <c:pt idx="113">
                  <c:v>6.4822230747535099E-7</c:v>
                </c:pt>
                <c:pt idx="114">
                  <c:v>1.3699547983019803E-6</c:v>
                </c:pt>
                <c:pt idx="115">
                  <c:v>2.9908838197194131E-7</c:v>
                </c:pt>
                <c:pt idx="116">
                  <c:v>6.4822230747535099E-7</c:v>
                </c:pt>
                <c:pt idx="117">
                  <c:v>1.3456525858077814E-7</c:v>
                </c:pt>
                <c:pt idx="118">
                  <c:v>2.9908838197194131E-7</c:v>
                </c:pt>
                <c:pt idx="119">
                  <c:v>5.9036988174303311E-8</c:v>
                </c:pt>
                <c:pt idx="120">
                  <c:v>1.3456525858077814E-7</c:v>
                </c:pt>
                <c:pt idx="121">
                  <c:v>2.5256506174144317E-8</c:v>
                </c:pt>
                <c:pt idx="122">
                  <c:v>5.9036988174303311E-8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E23-084E-B01E-8C1EC55D9C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587759"/>
        <c:axId val="67589407"/>
      </c:scatterChart>
      <c:valAx>
        <c:axId val="675877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7589407"/>
        <c:crosses val="autoZero"/>
        <c:crossBetween val="midCat"/>
      </c:valAx>
      <c:valAx>
        <c:axId val="675894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758775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5" Type="http://schemas.openxmlformats.org/officeDocument/2006/relationships/chart" Target="../charts/chart1.xml"/><Relationship Id="rId10" Type="http://schemas.openxmlformats.org/officeDocument/2006/relationships/image" Target="../media/image10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jpg"/><Relationship Id="rId2" Type="http://schemas.openxmlformats.org/officeDocument/2006/relationships/image" Target="../media/image16.jpg"/><Relationship Id="rId1" Type="http://schemas.openxmlformats.org/officeDocument/2006/relationships/image" Target="../media/image15.jpg"/><Relationship Id="rId6" Type="http://schemas.openxmlformats.org/officeDocument/2006/relationships/image" Target="../media/image20.jpg"/><Relationship Id="rId5" Type="http://schemas.openxmlformats.org/officeDocument/2006/relationships/image" Target="../media/image19.jpg"/><Relationship Id="rId4" Type="http://schemas.openxmlformats.org/officeDocument/2006/relationships/image" Target="../media/image18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5" Type="http://schemas.openxmlformats.org/officeDocument/2006/relationships/image" Target="../media/image25.jpeg"/><Relationship Id="rId4" Type="http://schemas.openxmlformats.org/officeDocument/2006/relationships/image" Target="../media/image2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jpeg"/><Relationship Id="rId2" Type="http://schemas.openxmlformats.org/officeDocument/2006/relationships/chart" Target="../charts/chart7.xml"/><Relationship Id="rId1" Type="http://schemas.openxmlformats.org/officeDocument/2006/relationships/image" Target="../media/image26.jpg"/><Relationship Id="rId5" Type="http://schemas.openxmlformats.org/officeDocument/2006/relationships/image" Target="../media/image28.jpg"/><Relationship Id="rId4" Type="http://schemas.openxmlformats.org/officeDocument/2006/relationships/chart" Target="../charts/chart8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0.png"/><Relationship Id="rId7" Type="http://schemas.openxmlformats.org/officeDocument/2006/relationships/image" Target="../media/image34.jpg"/><Relationship Id="rId2" Type="http://schemas.openxmlformats.org/officeDocument/2006/relationships/image" Target="../media/image29.jpg"/><Relationship Id="rId1" Type="http://schemas.openxmlformats.org/officeDocument/2006/relationships/chart" Target="../charts/chart9.xml"/><Relationship Id="rId6" Type="http://schemas.openxmlformats.org/officeDocument/2006/relationships/image" Target="../media/image33.jpg"/><Relationship Id="rId5" Type="http://schemas.openxmlformats.org/officeDocument/2006/relationships/image" Target="../media/image32.jpg"/><Relationship Id="rId4" Type="http://schemas.openxmlformats.org/officeDocument/2006/relationships/image" Target="../media/image31.jp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42.jpg"/><Relationship Id="rId13" Type="http://schemas.openxmlformats.org/officeDocument/2006/relationships/image" Target="../media/image47.jpg"/><Relationship Id="rId3" Type="http://schemas.openxmlformats.org/officeDocument/2006/relationships/image" Target="../media/image37.png"/><Relationship Id="rId7" Type="http://schemas.openxmlformats.org/officeDocument/2006/relationships/image" Target="../media/image41.png"/><Relationship Id="rId12" Type="http://schemas.openxmlformats.org/officeDocument/2006/relationships/image" Target="../media/image46.png"/><Relationship Id="rId2" Type="http://schemas.openxmlformats.org/officeDocument/2006/relationships/image" Target="../media/image36.jpg"/><Relationship Id="rId1" Type="http://schemas.openxmlformats.org/officeDocument/2006/relationships/image" Target="../media/image35.png"/><Relationship Id="rId6" Type="http://schemas.openxmlformats.org/officeDocument/2006/relationships/image" Target="../media/image40.jpg"/><Relationship Id="rId11" Type="http://schemas.openxmlformats.org/officeDocument/2006/relationships/image" Target="../media/image45.jpeg"/><Relationship Id="rId5" Type="http://schemas.openxmlformats.org/officeDocument/2006/relationships/image" Target="../media/image39.png"/><Relationship Id="rId10" Type="http://schemas.openxmlformats.org/officeDocument/2006/relationships/image" Target="../media/image44.jpg"/><Relationship Id="rId4" Type="http://schemas.openxmlformats.org/officeDocument/2006/relationships/image" Target="../media/image38.jpg"/><Relationship Id="rId9" Type="http://schemas.openxmlformats.org/officeDocument/2006/relationships/image" Target="../media/image43.png"/><Relationship Id="rId14" Type="http://schemas.openxmlformats.org/officeDocument/2006/relationships/chart" Target="../charts/chart10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673100</xdr:colOff>
      <xdr:row>1</xdr:row>
      <xdr:rowOff>35028</xdr:rowOff>
    </xdr:from>
    <xdr:ext cx="5778500" cy="3546372"/>
    <xdr:pic>
      <xdr:nvPicPr>
        <xdr:cNvPr id="2" name="Immagine 1">
          <a:extLst>
            <a:ext uri="{FF2B5EF4-FFF2-40B4-BE49-F238E27FC236}">
              <a16:creationId xmlns:a16="http://schemas.microsoft.com/office/drawing/2014/main" id="{778C194C-42D2-0A40-A2DD-5F67E243B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6100" y="238228"/>
          <a:ext cx="5778500" cy="3546372"/>
        </a:xfrm>
        <a:prstGeom prst="rect">
          <a:avLst/>
        </a:prstGeom>
      </xdr:spPr>
    </xdr:pic>
    <xdr:clientData/>
  </xdr:oneCellAnchor>
  <xdr:oneCellAnchor>
    <xdr:from>
      <xdr:col>4</xdr:col>
      <xdr:colOff>673100</xdr:colOff>
      <xdr:row>166</xdr:row>
      <xdr:rowOff>26494</xdr:rowOff>
    </xdr:from>
    <xdr:ext cx="4000500" cy="1586405"/>
    <xdr:pic>
      <xdr:nvPicPr>
        <xdr:cNvPr id="3" name="Immagine 2">
          <a:extLst>
            <a:ext uri="{FF2B5EF4-FFF2-40B4-BE49-F238E27FC236}">
              <a16:creationId xmlns:a16="http://schemas.microsoft.com/office/drawing/2014/main" id="{A4E49427-8C4F-C54F-9A63-8E26F3443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5100" y="33757694"/>
          <a:ext cx="4000500" cy="1586405"/>
        </a:xfrm>
        <a:prstGeom prst="rect">
          <a:avLst/>
        </a:prstGeom>
      </xdr:spPr>
    </xdr:pic>
    <xdr:clientData/>
  </xdr:oneCellAnchor>
  <xdr:oneCellAnchor>
    <xdr:from>
      <xdr:col>4</xdr:col>
      <xdr:colOff>757200</xdr:colOff>
      <xdr:row>178</xdr:row>
      <xdr:rowOff>196252</xdr:rowOff>
    </xdr:from>
    <xdr:ext cx="3992600" cy="1665847"/>
    <xdr:pic>
      <xdr:nvPicPr>
        <xdr:cNvPr id="4" name="Immagine 3">
          <a:extLst>
            <a:ext uri="{FF2B5EF4-FFF2-40B4-BE49-F238E27FC236}">
              <a16:creationId xmlns:a16="http://schemas.microsoft.com/office/drawing/2014/main" id="{52024462-07A4-4746-B5F1-26C9A8F411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9200" y="36365852"/>
          <a:ext cx="3992600" cy="1665847"/>
        </a:xfrm>
        <a:prstGeom prst="rect">
          <a:avLst/>
        </a:prstGeom>
      </xdr:spPr>
    </xdr:pic>
    <xdr:clientData/>
  </xdr:oneCellAnchor>
  <xdr:oneCellAnchor>
    <xdr:from>
      <xdr:col>4</xdr:col>
      <xdr:colOff>782060</xdr:colOff>
      <xdr:row>184</xdr:row>
      <xdr:rowOff>108859</xdr:rowOff>
    </xdr:from>
    <xdr:ext cx="4043940" cy="1656442"/>
    <xdr:pic>
      <xdr:nvPicPr>
        <xdr:cNvPr id="5" name="Immagine 4">
          <a:extLst>
            <a:ext uri="{FF2B5EF4-FFF2-40B4-BE49-F238E27FC236}">
              <a16:creationId xmlns:a16="http://schemas.microsoft.com/office/drawing/2014/main" id="{EC3FD7D1-5AF1-E841-8D94-F3E0C7130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4060" y="37497659"/>
          <a:ext cx="4043940" cy="1656442"/>
        </a:xfrm>
        <a:prstGeom prst="rect">
          <a:avLst/>
        </a:prstGeom>
      </xdr:spPr>
    </xdr:pic>
    <xdr:clientData/>
  </xdr:oneCellAnchor>
  <xdr:oneCellAnchor>
    <xdr:from>
      <xdr:col>5</xdr:col>
      <xdr:colOff>66600</xdr:colOff>
      <xdr:row>190</xdr:row>
      <xdr:rowOff>0</xdr:rowOff>
    </xdr:from>
    <xdr:ext cx="4060306" cy="1730300"/>
    <xdr:pic>
      <xdr:nvPicPr>
        <xdr:cNvPr id="6" name="Immagine 5">
          <a:extLst>
            <a:ext uri="{FF2B5EF4-FFF2-40B4-BE49-F238E27FC236}">
              <a16:creationId xmlns:a16="http://schemas.microsoft.com/office/drawing/2014/main" id="{1D2AE749-0496-434D-8352-0B06D4278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4100" y="38608000"/>
          <a:ext cx="4060306" cy="1730300"/>
        </a:xfrm>
        <a:prstGeom prst="rect">
          <a:avLst/>
        </a:prstGeom>
      </xdr:spPr>
    </xdr:pic>
    <xdr:clientData/>
  </xdr:oneCellAnchor>
  <xdr:oneCellAnchor>
    <xdr:from>
      <xdr:col>4</xdr:col>
      <xdr:colOff>813500</xdr:colOff>
      <xdr:row>115</xdr:row>
      <xdr:rowOff>139700</xdr:rowOff>
    </xdr:from>
    <xdr:ext cx="3970122" cy="1689800"/>
    <xdr:pic>
      <xdr:nvPicPr>
        <xdr:cNvPr id="7" name="Immagine 6">
          <a:extLst>
            <a:ext uri="{FF2B5EF4-FFF2-40B4-BE49-F238E27FC236}">
              <a16:creationId xmlns:a16="http://schemas.microsoft.com/office/drawing/2014/main" id="{A2446DF4-CF99-F64C-AA68-900E507721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5500" y="23507700"/>
          <a:ext cx="3970122" cy="1689800"/>
        </a:xfrm>
        <a:prstGeom prst="rect">
          <a:avLst/>
        </a:prstGeom>
      </xdr:spPr>
    </xdr:pic>
    <xdr:clientData/>
  </xdr:oneCellAnchor>
  <xdr:oneCellAnchor>
    <xdr:from>
      <xdr:col>4</xdr:col>
      <xdr:colOff>734900</xdr:colOff>
      <xdr:row>121</xdr:row>
      <xdr:rowOff>127000</xdr:rowOff>
    </xdr:from>
    <xdr:ext cx="4319418" cy="1776300"/>
    <xdr:pic>
      <xdr:nvPicPr>
        <xdr:cNvPr id="8" name="Immagine 7">
          <a:extLst>
            <a:ext uri="{FF2B5EF4-FFF2-40B4-BE49-F238E27FC236}">
              <a16:creationId xmlns:a16="http://schemas.microsoft.com/office/drawing/2014/main" id="{01F52CF4-FBAA-B846-8A67-22716CA5E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6900" y="24714200"/>
          <a:ext cx="4319418" cy="1776300"/>
        </a:xfrm>
        <a:prstGeom prst="rect">
          <a:avLst/>
        </a:prstGeom>
      </xdr:spPr>
    </xdr:pic>
    <xdr:clientData/>
  </xdr:oneCellAnchor>
  <xdr:oneCellAnchor>
    <xdr:from>
      <xdr:col>5</xdr:col>
      <xdr:colOff>8601</xdr:colOff>
      <xdr:row>127</xdr:row>
      <xdr:rowOff>76200</xdr:rowOff>
    </xdr:from>
    <xdr:ext cx="3669188" cy="1964400"/>
    <xdr:pic>
      <xdr:nvPicPr>
        <xdr:cNvPr id="9" name="Immagine 8">
          <a:extLst>
            <a:ext uri="{FF2B5EF4-FFF2-40B4-BE49-F238E27FC236}">
              <a16:creationId xmlns:a16="http://schemas.microsoft.com/office/drawing/2014/main" id="{79C4C013-F0A9-7D4D-88A3-6D64326A3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6101" y="25882600"/>
          <a:ext cx="3669188" cy="1964400"/>
        </a:xfrm>
        <a:prstGeom prst="rect">
          <a:avLst/>
        </a:prstGeom>
      </xdr:spPr>
    </xdr:pic>
    <xdr:clientData/>
  </xdr:oneCellAnchor>
  <xdr:oneCellAnchor>
    <xdr:from>
      <xdr:col>4</xdr:col>
      <xdr:colOff>730100</xdr:colOff>
      <xdr:row>135</xdr:row>
      <xdr:rowOff>279400</xdr:rowOff>
    </xdr:from>
    <xdr:ext cx="4205116" cy="1796900"/>
    <xdr:pic>
      <xdr:nvPicPr>
        <xdr:cNvPr id="10" name="Immagine 9">
          <a:extLst>
            <a:ext uri="{FF2B5EF4-FFF2-40B4-BE49-F238E27FC236}">
              <a16:creationId xmlns:a16="http://schemas.microsoft.com/office/drawing/2014/main" id="{18858749-6022-9B4C-BDEA-668A829FFD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2100" y="27635200"/>
          <a:ext cx="4205116" cy="1796900"/>
        </a:xfrm>
        <a:prstGeom prst="rect">
          <a:avLst/>
        </a:prstGeom>
      </xdr:spPr>
    </xdr:pic>
    <xdr:clientData/>
  </xdr:oneCellAnchor>
  <xdr:oneCellAnchor>
    <xdr:from>
      <xdr:col>4</xdr:col>
      <xdr:colOff>715000</xdr:colOff>
      <xdr:row>142</xdr:row>
      <xdr:rowOff>76200</xdr:rowOff>
    </xdr:from>
    <xdr:ext cx="4419027" cy="1858000"/>
    <xdr:pic>
      <xdr:nvPicPr>
        <xdr:cNvPr id="11" name="Immagine 10">
          <a:extLst>
            <a:ext uri="{FF2B5EF4-FFF2-40B4-BE49-F238E27FC236}">
              <a16:creationId xmlns:a16="http://schemas.microsoft.com/office/drawing/2014/main" id="{5227D44D-96C8-EF48-9928-E76AE0628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7000" y="28930600"/>
          <a:ext cx="4419027" cy="1858000"/>
        </a:xfrm>
        <a:prstGeom prst="rect">
          <a:avLst/>
        </a:prstGeom>
      </xdr:spPr>
    </xdr:pic>
    <xdr:clientData/>
  </xdr:oneCellAnchor>
  <xdr:oneCellAnchor>
    <xdr:from>
      <xdr:col>4</xdr:col>
      <xdr:colOff>712600</xdr:colOff>
      <xdr:row>148</xdr:row>
      <xdr:rowOff>88900</xdr:rowOff>
    </xdr:from>
    <xdr:ext cx="4317414" cy="1703200"/>
    <xdr:pic>
      <xdr:nvPicPr>
        <xdr:cNvPr id="12" name="Immagine 11">
          <a:extLst>
            <a:ext uri="{FF2B5EF4-FFF2-40B4-BE49-F238E27FC236}">
              <a16:creationId xmlns:a16="http://schemas.microsoft.com/office/drawing/2014/main" id="{9C567844-28B8-CE4D-BF79-097BA9D68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4600" y="30162500"/>
          <a:ext cx="4317414" cy="1703200"/>
        </a:xfrm>
        <a:prstGeom prst="rect">
          <a:avLst/>
        </a:prstGeom>
      </xdr:spPr>
    </xdr:pic>
    <xdr:clientData/>
  </xdr:oneCellAnchor>
  <xdr:oneCellAnchor>
    <xdr:from>
      <xdr:col>4</xdr:col>
      <xdr:colOff>634000</xdr:colOff>
      <xdr:row>153</xdr:row>
      <xdr:rowOff>291568</xdr:rowOff>
    </xdr:from>
    <xdr:ext cx="4636500" cy="1790232"/>
    <xdr:pic>
      <xdr:nvPicPr>
        <xdr:cNvPr id="13" name="Immagine 12">
          <a:extLst>
            <a:ext uri="{FF2B5EF4-FFF2-40B4-BE49-F238E27FC236}">
              <a16:creationId xmlns:a16="http://schemas.microsoft.com/office/drawing/2014/main" id="{91CF8C41-CF87-474D-8C3E-9D2105700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6000" y="31292268"/>
          <a:ext cx="4636500" cy="1790232"/>
        </a:xfrm>
        <a:prstGeom prst="rect">
          <a:avLst/>
        </a:prstGeom>
      </xdr:spPr>
    </xdr:pic>
    <xdr:clientData/>
  </xdr:oneCellAnchor>
  <xdr:oneCellAnchor>
    <xdr:from>
      <xdr:col>4</xdr:col>
      <xdr:colOff>644300</xdr:colOff>
      <xdr:row>160</xdr:row>
      <xdr:rowOff>76200</xdr:rowOff>
    </xdr:from>
    <xdr:ext cx="4323945" cy="1723800"/>
    <xdr:pic>
      <xdr:nvPicPr>
        <xdr:cNvPr id="14" name="Immagine 13">
          <a:extLst>
            <a:ext uri="{FF2B5EF4-FFF2-40B4-BE49-F238E27FC236}">
              <a16:creationId xmlns:a16="http://schemas.microsoft.com/office/drawing/2014/main" id="{A6673897-AEB8-7046-8FAB-D66FF27D2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46300" y="32588200"/>
          <a:ext cx="4323945" cy="1723800"/>
        </a:xfrm>
        <a:prstGeom prst="rect">
          <a:avLst/>
        </a:prstGeom>
      </xdr:spPr>
    </xdr:pic>
    <xdr:clientData/>
  </xdr:oneCellAnchor>
  <xdr:oneCellAnchor>
    <xdr:from>
      <xdr:col>4</xdr:col>
      <xdr:colOff>812800</xdr:colOff>
      <xdr:row>173</xdr:row>
      <xdr:rowOff>139700</xdr:rowOff>
    </xdr:from>
    <xdr:ext cx="3719308" cy="1485900"/>
    <xdr:pic>
      <xdr:nvPicPr>
        <xdr:cNvPr id="15" name="Immagine 14">
          <a:extLst>
            <a:ext uri="{FF2B5EF4-FFF2-40B4-BE49-F238E27FC236}">
              <a16:creationId xmlns:a16="http://schemas.microsoft.com/office/drawing/2014/main" id="{E7E63635-2B21-EB43-8D6B-8A77A0BFF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4800" y="35293300"/>
          <a:ext cx="3719308" cy="1485900"/>
        </a:xfrm>
        <a:prstGeom prst="rect">
          <a:avLst/>
        </a:prstGeom>
      </xdr:spPr>
    </xdr:pic>
    <xdr:clientData/>
  </xdr:oneCellAnchor>
  <xdr:twoCellAnchor>
    <xdr:from>
      <xdr:col>4</xdr:col>
      <xdr:colOff>450850</xdr:colOff>
      <xdr:row>16</xdr:row>
      <xdr:rowOff>279400</xdr:rowOff>
    </xdr:from>
    <xdr:to>
      <xdr:col>13</xdr:col>
      <xdr:colOff>50800</xdr:colOff>
      <xdr:row>29</xdr:row>
      <xdr:rowOff>241300</xdr:rowOff>
    </xdr:to>
    <xdr:graphicFrame macro="">
      <xdr:nvGraphicFramePr>
        <xdr:cNvPr id="16" name="Grafico 15">
          <a:extLst>
            <a:ext uri="{FF2B5EF4-FFF2-40B4-BE49-F238E27FC236}">
              <a16:creationId xmlns:a16="http://schemas.microsoft.com/office/drawing/2014/main" id="{14674D30-8DEB-2749-A467-566EF69A91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482601</xdr:colOff>
      <xdr:row>4</xdr:row>
      <xdr:rowOff>58300</xdr:rowOff>
    </xdr:from>
    <xdr:ext cx="3670300" cy="1872100"/>
    <xdr:pic>
      <xdr:nvPicPr>
        <xdr:cNvPr id="2" name="Immagine 1">
          <a:extLst>
            <a:ext uri="{FF2B5EF4-FFF2-40B4-BE49-F238E27FC236}">
              <a16:creationId xmlns:a16="http://schemas.microsoft.com/office/drawing/2014/main" id="{DD9BD769-1B5D-3B4A-A008-920D223226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61101" y="871100"/>
          <a:ext cx="3670300" cy="1872100"/>
        </a:xfrm>
        <a:prstGeom prst="rect">
          <a:avLst/>
        </a:prstGeom>
      </xdr:spPr>
    </xdr:pic>
    <xdr:clientData/>
  </xdr:oneCellAnchor>
  <xdr:oneCellAnchor>
    <xdr:from>
      <xdr:col>7</xdr:col>
      <xdr:colOff>480201</xdr:colOff>
      <xdr:row>10</xdr:row>
      <xdr:rowOff>147446</xdr:rowOff>
    </xdr:from>
    <xdr:ext cx="3939400" cy="1678954"/>
    <xdr:pic>
      <xdr:nvPicPr>
        <xdr:cNvPr id="3" name="Immagine 2">
          <a:extLst>
            <a:ext uri="{FF2B5EF4-FFF2-40B4-BE49-F238E27FC236}">
              <a16:creationId xmlns:a16="http://schemas.microsoft.com/office/drawing/2014/main" id="{311A27CD-268C-6E4E-8907-FEB955B3C4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8701" y="2179446"/>
          <a:ext cx="3939400" cy="1678954"/>
        </a:xfrm>
        <a:prstGeom prst="rect">
          <a:avLst/>
        </a:prstGeom>
      </xdr:spPr>
    </xdr:pic>
    <xdr:clientData/>
  </xdr:oneCellAnchor>
  <xdr:oneCellAnchor>
    <xdr:from>
      <xdr:col>7</xdr:col>
      <xdr:colOff>401600</xdr:colOff>
      <xdr:row>16</xdr:row>
      <xdr:rowOff>86090</xdr:rowOff>
    </xdr:from>
    <xdr:ext cx="3724622" cy="1572810"/>
    <xdr:pic>
      <xdr:nvPicPr>
        <xdr:cNvPr id="4" name="Immagine 3">
          <a:extLst>
            <a:ext uri="{FF2B5EF4-FFF2-40B4-BE49-F238E27FC236}">
              <a16:creationId xmlns:a16="http://schemas.microsoft.com/office/drawing/2014/main" id="{0DF6168E-EBC9-8C4D-BBF3-B4DFF5F7A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80100" y="3337290"/>
          <a:ext cx="3724622" cy="1572810"/>
        </a:xfrm>
        <a:prstGeom prst="rect">
          <a:avLst/>
        </a:prstGeom>
      </xdr:spPr>
    </xdr:pic>
    <xdr:clientData/>
  </xdr:oneCellAnchor>
  <xdr:oneCellAnchor>
    <xdr:from>
      <xdr:col>7</xdr:col>
      <xdr:colOff>399200</xdr:colOff>
      <xdr:row>21</xdr:row>
      <xdr:rowOff>241578</xdr:rowOff>
    </xdr:from>
    <xdr:ext cx="3906100" cy="1719721"/>
    <xdr:pic>
      <xdr:nvPicPr>
        <xdr:cNvPr id="5" name="Immagine 4">
          <a:extLst>
            <a:ext uri="{FF2B5EF4-FFF2-40B4-BE49-F238E27FC236}">
              <a16:creationId xmlns:a16="http://schemas.microsoft.com/office/drawing/2014/main" id="{47A1E68D-3AB8-6243-AA6F-C16B889E81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7700" y="4470678"/>
          <a:ext cx="3906100" cy="1719721"/>
        </a:xfrm>
        <a:prstGeom prst="rect">
          <a:avLst/>
        </a:prstGeom>
      </xdr:spPr>
    </xdr:pic>
    <xdr:clientData/>
  </xdr:oneCellAnchor>
  <xdr:oneCellAnchor>
    <xdr:from>
      <xdr:col>7</xdr:col>
      <xdr:colOff>330200</xdr:colOff>
      <xdr:row>28</xdr:row>
      <xdr:rowOff>267212</xdr:rowOff>
    </xdr:from>
    <xdr:ext cx="3744956" cy="1586988"/>
    <xdr:pic>
      <xdr:nvPicPr>
        <xdr:cNvPr id="6" name="Immagine 5">
          <a:extLst>
            <a:ext uri="{FF2B5EF4-FFF2-40B4-BE49-F238E27FC236}">
              <a16:creationId xmlns:a16="http://schemas.microsoft.com/office/drawing/2014/main" id="{97BF3A7A-D54C-2A4C-97FA-1ED5B9A41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08700" y="5893312"/>
          <a:ext cx="3744956" cy="1586988"/>
        </a:xfrm>
        <a:prstGeom prst="rect">
          <a:avLst/>
        </a:prstGeom>
      </xdr:spPr>
    </xdr:pic>
    <xdr:clientData/>
  </xdr:oneCellAnchor>
  <xdr:oneCellAnchor>
    <xdr:from>
      <xdr:col>7</xdr:col>
      <xdr:colOff>518300</xdr:colOff>
      <xdr:row>34</xdr:row>
      <xdr:rowOff>292100</xdr:rowOff>
    </xdr:from>
    <xdr:ext cx="3484655" cy="1813700"/>
    <xdr:pic>
      <xdr:nvPicPr>
        <xdr:cNvPr id="7" name="Immagine 6">
          <a:extLst>
            <a:ext uri="{FF2B5EF4-FFF2-40B4-BE49-F238E27FC236}">
              <a16:creationId xmlns:a16="http://schemas.microsoft.com/office/drawing/2014/main" id="{73314181-09C4-5246-85DD-1D9DF04A0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96800" y="7112000"/>
          <a:ext cx="3484655" cy="181370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63500</xdr:colOff>
      <xdr:row>66</xdr:row>
      <xdr:rowOff>177800</xdr:rowOff>
    </xdr:from>
    <xdr:to>
      <xdr:col>13</xdr:col>
      <xdr:colOff>508000</xdr:colOff>
      <xdr:row>80</xdr:row>
      <xdr:rowOff>177800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425C3A42-8451-8641-B93D-94216745A3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57150</xdr:colOff>
      <xdr:row>9</xdr:row>
      <xdr:rowOff>279400</xdr:rowOff>
    </xdr:from>
    <xdr:to>
      <xdr:col>14</xdr:col>
      <xdr:colOff>501650</xdr:colOff>
      <xdr:row>18</xdr:row>
      <xdr:rowOff>279400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39090B6B-E444-364A-A32E-04F183AA1F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127000</xdr:colOff>
      <xdr:row>1</xdr:row>
      <xdr:rowOff>165100</xdr:rowOff>
    </xdr:from>
    <xdr:to>
      <xdr:col>12</xdr:col>
      <xdr:colOff>571500</xdr:colOff>
      <xdr:row>15</xdr:row>
      <xdr:rowOff>63500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946AAC81-4313-6C47-8411-322C2363D6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17</xdr:row>
      <xdr:rowOff>0</xdr:rowOff>
    </xdr:from>
    <xdr:to>
      <xdr:col>12</xdr:col>
      <xdr:colOff>444500</xdr:colOff>
      <xdr:row>30</xdr:row>
      <xdr:rowOff>101600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DB4E2C6C-9484-AC44-B408-7A657D2F84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158750</xdr:colOff>
      <xdr:row>31</xdr:row>
      <xdr:rowOff>0</xdr:rowOff>
    </xdr:from>
    <xdr:to>
      <xdr:col>12</xdr:col>
      <xdr:colOff>603250</xdr:colOff>
      <xdr:row>44</xdr:row>
      <xdr:rowOff>101600</xdr:rowOff>
    </xdr:to>
    <xdr:graphicFrame macro="">
      <xdr:nvGraphicFramePr>
        <xdr:cNvPr id="4" name="Grafico 3">
          <a:extLst>
            <a:ext uri="{FF2B5EF4-FFF2-40B4-BE49-F238E27FC236}">
              <a16:creationId xmlns:a16="http://schemas.microsoft.com/office/drawing/2014/main" id="{EFDEDC3A-9455-CA41-94D3-C3BAD48276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203200</xdr:colOff>
      <xdr:row>0</xdr:row>
      <xdr:rowOff>187395</xdr:rowOff>
    </xdr:from>
    <xdr:ext cx="3873500" cy="2999824"/>
    <xdr:pic>
      <xdr:nvPicPr>
        <xdr:cNvPr id="2" name="Immagine 1">
          <a:extLst>
            <a:ext uri="{FF2B5EF4-FFF2-40B4-BE49-F238E27FC236}">
              <a16:creationId xmlns:a16="http://schemas.microsoft.com/office/drawing/2014/main" id="{158D8EAB-FACA-D941-A48A-F76CEFD5EC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700" y="187395"/>
          <a:ext cx="3873500" cy="2999824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</xdr:row>
      <xdr:rowOff>0</xdr:rowOff>
    </xdr:from>
    <xdr:ext cx="5842000" cy="2544009"/>
    <xdr:pic>
      <xdr:nvPicPr>
        <xdr:cNvPr id="3" name="Immagine 2">
          <a:extLst>
            <a:ext uri="{FF2B5EF4-FFF2-40B4-BE49-F238E27FC236}">
              <a16:creationId xmlns:a16="http://schemas.microsoft.com/office/drawing/2014/main" id="{64EDFF34-1BDA-894D-A1D1-FD2E63AE2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500" y="4673600"/>
          <a:ext cx="5842000" cy="2544009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44</xdr:row>
      <xdr:rowOff>0</xdr:rowOff>
    </xdr:from>
    <xdr:ext cx="7023100" cy="2644797"/>
    <xdr:pic>
      <xdr:nvPicPr>
        <xdr:cNvPr id="4" name="Immagine 3">
          <a:extLst>
            <a:ext uri="{FF2B5EF4-FFF2-40B4-BE49-F238E27FC236}">
              <a16:creationId xmlns:a16="http://schemas.microsoft.com/office/drawing/2014/main" id="{075981E2-340B-7243-A733-9C26FEC15F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500" y="8940800"/>
          <a:ext cx="7023100" cy="2644797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62</xdr:row>
      <xdr:rowOff>0</xdr:rowOff>
    </xdr:from>
    <xdr:ext cx="7772400" cy="4024360"/>
    <xdr:pic>
      <xdr:nvPicPr>
        <xdr:cNvPr id="5" name="Immagine 4">
          <a:extLst>
            <a:ext uri="{FF2B5EF4-FFF2-40B4-BE49-F238E27FC236}">
              <a16:creationId xmlns:a16="http://schemas.microsoft.com/office/drawing/2014/main" id="{7952D77A-64DC-794A-966A-3025231DE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8500" y="12598400"/>
          <a:ext cx="7772400" cy="4024360"/>
        </a:xfrm>
        <a:prstGeom prst="rect">
          <a:avLst/>
        </a:prstGeom>
      </xdr:spPr>
    </xdr:pic>
    <xdr:clientData/>
  </xdr:oneCellAnchor>
  <xdr:oneCellAnchor>
    <xdr:from>
      <xdr:col>5</xdr:col>
      <xdr:colOff>283833</xdr:colOff>
      <xdr:row>105</xdr:row>
      <xdr:rowOff>88900</xdr:rowOff>
    </xdr:from>
    <xdr:ext cx="8244492" cy="3721100"/>
    <xdr:pic>
      <xdr:nvPicPr>
        <xdr:cNvPr id="6" name="Immagine 5">
          <a:extLst>
            <a:ext uri="{FF2B5EF4-FFF2-40B4-BE49-F238E27FC236}">
              <a16:creationId xmlns:a16="http://schemas.microsoft.com/office/drawing/2014/main" id="{360CF2BA-DEE6-B744-B8A6-167566D53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1333" y="21424900"/>
          <a:ext cx="8244492" cy="372110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825499</xdr:colOff>
      <xdr:row>3</xdr:row>
      <xdr:rowOff>0</xdr:rowOff>
    </xdr:from>
    <xdr:ext cx="8629201" cy="2387600"/>
    <xdr:pic>
      <xdr:nvPicPr>
        <xdr:cNvPr id="2" name="Immagine 1">
          <a:extLst>
            <a:ext uri="{FF2B5EF4-FFF2-40B4-BE49-F238E27FC236}">
              <a16:creationId xmlns:a16="http://schemas.microsoft.com/office/drawing/2014/main" id="{E208B8DE-8516-554F-83EB-351E6CEF1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499" y="609600"/>
          <a:ext cx="8629201" cy="2387600"/>
        </a:xfrm>
        <a:prstGeom prst="rect">
          <a:avLst/>
        </a:prstGeom>
      </xdr:spPr>
    </xdr:pic>
    <xdr:clientData/>
  </xdr:oneCellAnchor>
  <xdr:twoCellAnchor>
    <xdr:from>
      <xdr:col>5</xdr:col>
      <xdr:colOff>0</xdr:colOff>
      <xdr:row>13</xdr:row>
      <xdr:rowOff>0</xdr:rowOff>
    </xdr:from>
    <xdr:to>
      <xdr:col>9</xdr:col>
      <xdr:colOff>571500</xdr:colOff>
      <xdr:row>22</xdr:row>
      <xdr:rowOff>215900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5EC26246-A37A-DF46-B4E4-EF9A531EB1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5</xdr:col>
      <xdr:colOff>0</xdr:colOff>
      <xdr:row>28</xdr:row>
      <xdr:rowOff>0</xdr:rowOff>
    </xdr:from>
    <xdr:ext cx="7772400" cy="3421668"/>
    <xdr:pic>
      <xdr:nvPicPr>
        <xdr:cNvPr id="4" name="Immagine 3">
          <a:extLst>
            <a:ext uri="{FF2B5EF4-FFF2-40B4-BE49-F238E27FC236}">
              <a16:creationId xmlns:a16="http://schemas.microsoft.com/office/drawing/2014/main" id="{77785040-52BA-4B4D-93C3-CE49E5820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00" y="5689600"/>
          <a:ext cx="7772400" cy="3421668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55</xdr:row>
      <xdr:rowOff>0</xdr:rowOff>
    </xdr:from>
    <xdr:ext cx="8629201" cy="2387600"/>
    <xdr:pic>
      <xdr:nvPicPr>
        <xdr:cNvPr id="5" name="Immagine 4">
          <a:extLst>
            <a:ext uri="{FF2B5EF4-FFF2-40B4-BE49-F238E27FC236}">
              <a16:creationId xmlns:a16="http://schemas.microsoft.com/office/drawing/2014/main" id="{00BF8A6F-4FC4-AC4C-ADE0-B4D48BB4C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500" y="11176000"/>
          <a:ext cx="8629201" cy="2387600"/>
        </a:xfrm>
        <a:prstGeom prst="rect">
          <a:avLst/>
        </a:prstGeom>
      </xdr:spPr>
    </xdr:pic>
    <xdr:clientData/>
  </xdr:oneCellAnchor>
  <xdr:twoCellAnchor>
    <xdr:from>
      <xdr:col>7</xdr:col>
      <xdr:colOff>533400</xdr:colOff>
      <xdr:row>65</xdr:row>
      <xdr:rowOff>203200</xdr:rowOff>
    </xdr:from>
    <xdr:to>
      <xdr:col>11</xdr:col>
      <xdr:colOff>825500</xdr:colOff>
      <xdr:row>75</xdr:row>
      <xdr:rowOff>152400</xdr:rowOff>
    </xdr:to>
    <xdr:graphicFrame macro="">
      <xdr:nvGraphicFramePr>
        <xdr:cNvPr id="6" name="Grafico 5">
          <a:extLst>
            <a:ext uri="{FF2B5EF4-FFF2-40B4-BE49-F238E27FC236}">
              <a16:creationId xmlns:a16="http://schemas.microsoft.com/office/drawing/2014/main" id="{1D9618D5-416B-A243-A028-4483B52B1F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7</xdr:col>
      <xdr:colOff>393700</xdr:colOff>
      <xdr:row>75</xdr:row>
      <xdr:rowOff>241300</xdr:rowOff>
    </xdr:from>
    <xdr:ext cx="5593801" cy="880435"/>
    <xdr:pic>
      <xdr:nvPicPr>
        <xdr:cNvPr id="7" name="Immagine 6">
          <a:extLst>
            <a:ext uri="{FF2B5EF4-FFF2-40B4-BE49-F238E27FC236}">
              <a16:creationId xmlns:a16="http://schemas.microsoft.com/office/drawing/2014/main" id="{DB12A4CD-698C-D849-B8A1-2413D5493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2200" y="15443200"/>
          <a:ext cx="5593801" cy="880435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793750</xdr:colOff>
      <xdr:row>6</xdr:row>
      <xdr:rowOff>101600</xdr:rowOff>
    </xdr:from>
    <xdr:to>
      <xdr:col>12</xdr:col>
      <xdr:colOff>412750</xdr:colOff>
      <xdr:row>16</xdr:row>
      <xdr:rowOff>177800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FCC5C61F-87D5-4449-BA5C-9B9A945C67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5</xdr:col>
      <xdr:colOff>444500</xdr:colOff>
      <xdr:row>50</xdr:row>
      <xdr:rowOff>38100</xdr:rowOff>
    </xdr:from>
    <xdr:ext cx="3582656" cy="1638300"/>
    <xdr:pic>
      <xdr:nvPicPr>
        <xdr:cNvPr id="3" name="Immagine 2">
          <a:extLst>
            <a:ext uri="{FF2B5EF4-FFF2-40B4-BE49-F238E27FC236}">
              <a16:creationId xmlns:a16="http://schemas.microsoft.com/office/drawing/2014/main" id="{9CE4A167-F66B-C344-BB0C-90770A2DD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00" y="10198100"/>
          <a:ext cx="3582656" cy="1638300"/>
        </a:xfrm>
        <a:prstGeom prst="rect">
          <a:avLst/>
        </a:prstGeom>
      </xdr:spPr>
    </xdr:pic>
    <xdr:clientData/>
  </xdr:oneCellAnchor>
  <xdr:oneCellAnchor>
    <xdr:from>
      <xdr:col>0</xdr:col>
      <xdr:colOff>812800</xdr:colOff>
      <xdr:row>77</xdr:row>
      <xdr:rowOff>12700</xdr:rowOff>
    </xdr:from>
    <xdr:ext cx="8648700" cy="1801813"/>
    <xdr:pic>
      <xdr:nvPicPr>
        <xdr:cNvPr id="4" name="Immagine 3" descr="Question 34. &#10;The variable Z has a standard normal distribution. Find the value of z such that the event occurs &#10;with a probability 0.1020. &#10;B) &#10;D) &#10;-2.27 &#10;-1.27 &#10;1.27@ &#10;2.27 ">
          <a:extLst>
            <a:ext uri="{FF2B5EF4-FFF2-40B4-BE49-F238E27FC236}">
              <a16:creationId xmlns:a16="http://schemas.microsoft.com/office/drawing/2014/main" id="{36E72F4E-3FCD-CB47-B696-A52376A4D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800" y="15659100"/>
          <a:ext cx="8648700" cy="18018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317500</xdr:colOff>
      <xdr:row>119</xdr:row>
      <xdr:rowOff>12700</xdr:rowOff>
    </xdr:from>
    <xdr:ext cx="3860800" cy="2323094"/>
    <xdr:pic>
      <xdr:nvPicPr>
        <xdr:cNvPr id="5" name="Immagine 4">
          <a:extLst>
            <a:ext uri="{FF2B5EF4-FFF2-40B4-BE49-F238E27FC236}">
              <a16:creationId xmlns:a16="http://schemas.microsoft.com/office/drawing/2014/main" id="{976547F5-D420-7146-B055-CC778C8DA5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0500" y="24193500"/>
          <a:ext cx="3860800" cy="2323094"/>
        </a:xfrm>
        <a:prstGeom prst="rect">
          <a:avLst/>
        </a:prstGeom>
      </xdr:spPr>
    </xdr:pic>
    <xdr:clientData/>
  </xdr:oneCellAnchor>
  <xdr:oneCellAnchor>
    <xdr:from>
      <xdr:col>6</xdr:col>
      <xdr:colOff>76200</xdr:colOff>
      <xdr:row>149</xdr:row>
      <xdr:rowOff>88900</xdr:rowOff>
    </xdr:from>
    <xdr:ext cx="3441700" cy="1683029"/>
    <xdr:pic>
      <xdr:nvPicPr>
        <xdr:cNvPr id="6" name="Immagine 5">
          <a:extLst>
            <a:ext uri="{FF2B5EF4-FFF2-40B4-BE49-F238E27FC236}">
              <a16:creationId xmlns:a16="http://schemas.microsoft.com/office/drawing/2014/main" id="{EA19AB3C-C8D7-5646-8FDB-741EEA5D78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9200" y="30365700"/>
          <a:ext cx="3441700" cy="1683029"/>
        </a:xfrm>
        <a:prstGeom prst="rect">
          <a:avLst/>
        </a:prstGeom>
      </xdr:spPr>
    </xdr:pic>
    <xdr:clientData/>
  </xdr:oneCellAnchor>
  <xdr:oneCellAnchor>
    <xdr:from>
      <xdr:col>5</xdr:col>
      <xdr:colOff>622300</xdr:colOff>
      <xdr:row>166</xdr:row>
      <xdr:rowOff>88900</xdr:rowOff>
    </xdr:from>
    <xdr:ext cx="4686300" cy="2193006"/>
    <xdr:pic>
      <xdr:nvPicPr>
        <xdr:cNvPr id="7" name="Immagine 6">
          <a:extLst>
            <a:ext uri="{FF2B5EF4-FFF2-40B4-BE49-F238E27FC236}">
              <a16:creationId xmlns:a16="http://schemas.microsoft.com/office/drawing/2014/main" id="{8992C835-7E49-474E-A493-926812CBBC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49800" y="33820100"/>
          <a:ext cx="4686300" cy="2193006"/>
        </a:xfrm>
        <a:prstGeom prst="rect">
          <a:avLst/>
        </a:prstGeom>
      </xdr:spPr>
    </xdr:pic>
    <xdr:clientData/>
  </xdr:oneCellAnchor>
  <xdr:oneCellAnchor>
    <xdr:from>
      <xdr:col>5</xdr:col>
      <xdr:colOff>241300</xdr:colOff>
      <xdr:row>179</xdr:row>
      <xdr:rowOff>12700</xdr:rowOff>
    </xdr:from>
    <xdr:ext cx="4089400" cy="2664814"/>
    <xdr:pic>
      <xdr:nvPicPr>
        <xdr:cNvPr id="8" name="Immagine 7">
          <a:extLst>
            <a:ext uri="{FF2B5EF4-FFF2-40B4-BE49-F238E27FC236}">
              <a16:creationId xmlns:a16="http://schemas.microsoft.com/office/drawing/2014/main" id="{F324528A-B333-7742-AE48-05232E32C2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8800" y="36385500"/>
          <a:ext cx="4089400" cy="2664814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</xdr:colOff>
      <xdr:row>6</xdr:row>
      <xdr:rowOff>0</xdr:rowOff>
    </xdr:from>
    <xdr:ext cx="10014863" cy="2286000"/>
    <xdr:pic>
      <xdr:nvPicPr>
        <xdr:cNvPr id="2" name="Immagine 1" descr="3 Assume that the grades of the statistics exam are normally distributed with a mean of 5.5 and a &#10;standard deviation of 2. What percentage of students would have scored higher than 9.5 on the exam? &#10;You may want to use the 68 — 95 — 99.7 rule of thumb. &#10;Hint: &#10;2.5% &#10;(b) &#10;5.0% &#10;(c) &#10;95% &#10;(d) 97.5% ">
          <a:extLst>
            <a:ext uri="{FF2B5EF4-FFF2-40B4-BE49-F238E27FC236}">
              <a16:creationId xmlns:a16="http://schemas.microsoft.com/office/drawing/2014/main" id="{6C673B3D-5887-5740-9036-CB85E256F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3" y="1219200"/>
          <a:ext cx="10014863" cy="228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584200</xdr:colOff>
      <xdr:row>14</xdr:row>
      <xdr:rowOff>165100</xdr:rowOff>
    </xdr:from>
    <xdr:ext cx="4851400" cy="2652964"/>
    <xdr:pic>
      <xdr:nvPicPr>
        <xdr:cNvPr id="3" name="Immagine 2">
          <a:extLst>
            <a:ext uri="{FF2B5EF4-FFF2-40B4-BE49-F238E27FC236}">
              <a16:creationId xmlns:a16="http://schemas.microsoft.com/office/drawing/2014/main" id="{409CA473-ABC5-8A47-8952-836B95A7F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7200" y="3009900"/>
          <a:ext cx="4851400" cy="2652964"/>
        </a:xfrm>
        <a:prstGeom prst="rect">
          <a:avLst/>
        </a:prstGeom>
      </xdr:spPr>
    </xdr:pic>
    <xdr:clientData/>
  </xdr:oneCellAnchor>
  <xdr:oneCellAnchor>
    <xdr:from>
      <xdr:col>1</xdr:col>
      <xdr:colOff>12699</xdr:colOff>
      <xdr:row>31</xdr:row>
      <xdr:rowOff>241300</xdr:rowOff>
    </xdr:from>
    <xdr:ext cx="10052159" cy="1892300"/>
    <xdr:pic>
      <xdr:nvPicPr>
        <xdr:cNvPr id="4" name="Immagine 3" descr="4 Assuming Z is standard normally distributed: for which values of z is P (Z 2 Izl) — &#10;(a) -0.5199 &#10;(b) 0.5199 &#10;(c) 1.645 &#10;(d) 1.96 ">
          <a:extLst>
            <a:ext uri="{FF2B5EF4-FFF2-40B4-BE49-F238E27FC236}">
              <a16:creationId xmlns:a16="http://schemas.microsoft.com/office/drawing/2014/main" id="{02C60833-D8D2-C048-8C0E-1426CCE45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199" y="6502400"/>
          <a:ext cx="10052159" cy="1892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343400" cy="2229018"/>
    <xdr:pic>
      <xdr:nvPicPr>
        <xdr:cNvPr id="5" name="Immagine 4">
          <a:extLst>
            <a:ext uri="{FF2B5EF4-FFF2-40B4-BE49-F238E27FC236}">
              <a16:creationId xmlns:a16="http://schemas.microsoft.com/office/drawing/2014/main" id="{1096033D-A79E-7147-9DC9-8B55D8A7B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4000" y="8128000"/>
          <a:ext cx="4343400" cy="2229018"/>
        </a:xfrm>
        <a:prstGeom prst="rect">
          <a:avLst/>
        </a:prstGeom>
      </xdr:spPr>
    </xdr:pic>
    <xdr:clientData/>
  </xdr:oneCellAnchor>
  <xdr:oneCellAnchor>
    <xdr:from>
      <xdr:col>1</xdr:col>
      <xdr:colOff>6</xdr:colOff>
      <xdr:row>50</xdr:row>
      <xdr:rowOff>0</xdr:rowOff>
    </xdr:from>
    <xdr:ext cx="10206275" cy="2247900"/>
    <xdr:pic>
      <xdr:nvPicPr>
        <xdr:cNvPr id="6" name="Immagine 5" descr="10 For a given population the preparation time of an exam is normally distributed with = 115 and &#10;= 3 hours. What percentage of people in this population have a preparation time between 115 and 120 &#10;hours? &#10;(a) &#10;(b) &#10;(c) &#10;(d) &#10;About 45 % &#10;About 50 % &#10;About 55 % &#10;About 95 % ">
          <a:extLst>
            <a:ext uri="{FF2B5EF4-FFF2-40B4-BE49-F238E27FC236}">
              <a16:creationId xmlns:a16="http://schemas.microsoft.com/office/drawing/2014/main" id="{27E10654-5D13-5148-B318-2191AB7A5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6" y="10160000"/>
          <a:ext cx="10206275" cy="2247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126999</xdr:colOff>
      <xdr:row>59</xdr:row>
      <xdr:rowOff>177800</xdr:rowOff>
    </xdr:from>
    <xdr:ext cx="3864039" cy="2832100"/>
    <xdr:pic>
      <xdr:nvPicPr>
        <xdr:cNvPr id="7" name="Immagine 6">
          <a:extLst>
            <a:ext uri="{FF2B5EF4-FFF2-40B4-BE49-F238E27FC236}">
              <a16:creationId xmlns:a16="http://schemas.microsoft.com/office/drawing/2014/main" id="{4DB3983D-5D0A-5445-9DEF-4356DAD254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30999" y="12166600"/>
          <a:ext cx="3864039" cy="2832100"/>
        </a:xfrm>
        <a:prstGeom prst="rect">
          <a:avLst/>
        </a:prstGeom>
      </xdr:spPr>
    </xdr:pic>
    <xdr:clientData/>
  </xdr:oneCellAnchor>
  <xdr:oneCellAnchor>
    <xdr:from>
      <xdr:col>1</xdr:col>
      <xdr:colOff>13</xdr:colOff>
      <xdr:row>79</xdr:row>
      <xdr:rowOff>0</xdr:rowOff>
    </xdr:from>
    <xdr:ext cx="10327265" cy="2103120"/>
    <xdr:pic>
      <xdr:nvPicPr>
        <xdr:cNvPr id="8" name="Immagine 7" descr="15 The scores on a test are normally distributed with a mean of 100 and standard deviation of 10. &#10;Which score do you need in order to belong to the top 7 &#10;(a) About 85.2 or less. &#10;(b) About 85.2 or more. &#10;(c) About 114.8 or less. &#10;(d) About 114.8 or more. ">
          <a:extLst>
            <a:ext uri="{FF2B5EF4-FFF2-40B4-BE49-F238E27FC236}">
              <a16:creationId xmlns:a16="http://schemas.microsoft.com/office/drawing/2014/main" id="{E252EAF7-427A-9F43-872C-E040DD2A4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13" y="16052800"/>
          <a:ext cx="10327265" cy="21031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87</xdr:row>
      <xdr:rowOff>0</xdr:rowOff>
    </xdr:from>
    <xdr:ext cx="4406850" cy="2425700"/>
    <xdr:pic>
      <xdr:nvPicPr>
        <xdr:cNvPr id="9" name="Immagine 8">
          <a:extLst>
            <a:ext uri="{FF2B5EF4-FFF2-40B4-BE49-F238E27FC236}">
              <a16:creationId xmlns:a16="http://schemas.microsoft.com/office/drawing/2014/main" id="{F2CA1F6D-D0DB-7E4E-8AF3-9BE201CBFC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4000" y="17678400"/>
          <a:ext cx="4406850" cy="2425700"/>
        </a:xfrm>
        <a:prstGeom prst="rect">
          <a:avLst/>
        </a:prstGeom>
      </xdr:spPr>
    </xdr:pic>
    <xdr:clientData/>
  </xdr:oneCellAnchor>
  <xdr:oneCellAnchor>
    <xdr:from>
      <xdr:col>1</xdr:col>
      <xdr:colOff>10</xdr:colOff>
      <xdr:row>99</xdr:row>
      <xdr:rowOff>0</xdr:rowOff>
    </xdr:from>
    <xdr:ext cx="9977387" cy="1380744"/>
    <xdr:pic>
      <xdr:nvPicPr>
        <xdr:cNvPr id="10" name="Immagine 9" descr="Question 33. &#10;On any given day, the number of visitors to the library is Normally distributed with a mean of 1200 &#10;and a standard deviation of 200. What is the probability that the num ber of visitors to the library is at &#10;least 1000 visitors on any given day? ">
          <a:extLst>
            <a:ext uri="{FF2B5EF4-FFF2-40B4-BE49-F238E27FC236}">
              <a16:creationId xmlns:a16="http://schemas.microsoft.com/office/drawing/2014/main" id="{43F545F2-AB44-3B43-B03C-6553F4EFE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10" y="20116800"/>
          <a:ext cx="9977387" cy="13807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1</xdr:colOff>
      <xdr:row>106</xdr:row>
      <xdr:rowOff>0</xdr:rowOff>
    </xdr:from>
    <xdr:ext cx="4112178" cy="2463800"/>
    <xdr:pic>
      <xdr:nvPicPr>
        <xdr:cNvPr id="11" name="Immagine 10">
          <a:extLst>
            <a:ext uri="{FF2B5EF4-FFF2-40B4-BE49-F238E27FC236}">
              <a16:creationId xmlns:a16="http://schemas.microsoft.com/office/drawing/2014/main" id="{F5228B6A-F84C-184D-960F-0C42E84A39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8501" y="21539200"/>
          <a:ext cx="4112178" cy="2463800"/>
        </a:xfrm>
        <a:prstGeom prst="rect">
          <a:avLst/>
        </a:prstGeom>
      </xdr:spPr>
    </xdr:pic>
    <xdr:clientData/>
  </xdr:oneCellAnchor>
  <xdr:oneCellAnchor>
    <xdr:from>
      <xdr:col>7</xdr:col>
      <xdr:colOff>162700</xdr:colOff>
      <xdr:row>115</xdr:row>
      <xdr:rowOff>48400</xdr:rowOff>
    </xdr:from>
    <xdr:ext cx="3926700" cy="3186420"/>
    <xdr:pic>
      <xdr:nvPicPr>
        <xdr:cNvPr id="12" name="Immagine 11">
          <a:extLst>
            <a:ext uri="{FF2B5EF4-FFF2-40B4-BE49-F238E27FC236}">
              <a16:creationId xmlns:a16="http://schemas.microsoft.com/office/drawing/2014/main" id="{D9D7190A-300C-BA4D-AD19-8F0220270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1200" y="23416400"/>
          <a:ext cx="3926700" cy="3186420"/>
        </a:xfrm>
        <a:prstGeom prst="rect">
          <a:avLst/>
        </a:prstGeom>
      </xdr:spPr>
    </xdr:pic>
    <xdr:clientData/>
  </xdr:oneCellAnchor>
  <xdr:oneCellAnchor>
    <xdr:from>
      <xdr:col>1</xdr:col>
      <xdr:colOff>10</xdr:colOff>
      <xdr:row>129</xdr:row>
      <xdr:rowOff>0</xdr:rowOff>
    </xdr:from>
    <xdr:ext cx="11887200" cy="2558888"/>
    <xdr:pic>
      <xdr:nvPicPr>
        <xdr:cNvPr id="13" name="Immagine 12" descr="70) Una linea produttiva realizza scatole di 20 pacchi di zucchero. Questi hanno un peso che si &#10;distribuisce secondo una var. casuale normale, indipendenti tra loro, con valore atteso pari a &#10;1000gr e dev. stand IOgr. Prendendo una scatola a caso, se essa pesa meno di 19900gr l'intero &#10;lotto viene respinto. &#10;a. Calcolare qual è la probabilità di vedersi respinto il lotto &#10;b. A che valore devo portare il valore atteso di ogni pacco per limitare questo rischio all'I per &#10;mille? ">
          <a:extLst>
            <a:ext uri="{FF2B5EF4-FFF2-40B4-BE49-F238E27FC236}">
              <a16:creationId xmlns:a16="http://schemas.microsoft.com/office/drawing/2014/main" id="{A4A1FFB9-4105-FB41-85E7-F635F8AF8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10" y="26212800"/>
          <a:ext cx="11887200" cy="25588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203200</xdr:colOff>
      <xdr:row>142</xdr:row>
      <xdr:rowOff>101600</xdr:rowOff>
    </xdr:from>
    <xdr:ext cx="5156200" cy="2411233"/>
    <xdr:pic>
      <xdr:nvPicPr>
        <xdr:cNvPr id="14" name="Immagine 13">
          <a:extLst>
            <a:ext uri="{FF2B5EF4-FFF2-40B4-BE49-F238E27FC236}">
              <a16:creationId xmlns:a16="http://schemas.microsoft.com/office/drawing/2014/main" id="{687BD86B-CCA4-834C-AFE1-58AA739FB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0700" y="28956000"/>
          <a:ext cx="5156200" cy="2411233"/>
        </a:xfrm>
        <a:prstGeom prst="rect">
          <a:avLst/>
        </a:prstGeom>
      </xdr:spPr>
    </xdr:pic>
    <xdr:clientData/>
  </xdr:oneCellAnchor>
  <xdr:twoCellAnchor>
    <xdr:from>
      <xdr:col>1</xdr:col>
      <xdr:colOff>133350</xdr:colOff>
      <xdr:row>161</xdr:row>
      <xdr:rowOff>215900</xdr:rowOff>
    </xdr:from>
    <xdr:to>
      <xdr:col>6</xdr:col>
      <xdr:colOff>133350</xdr:colOff>
      <xdr:row>172</xdr:row>
      <xdr:rowOff>25400</xdr:rowOff>
    </xdr:to>
    <xdr:graphicFrame macro="">
      <xdr:nvGraphicFramePr>
        <xdr:cNvPr id="15" name="Grafico 14">
          <a:extLst>
            <a:ext uri="{FF2B5EF4-FFF2-40B4-BE49-F238E27FC236}">
              <a16:creationId xmlns:a16="http://schemas.microsoft.com/office/drawing/2014/main" id="{01C62E1F-3E03-6042-B729-1C9501AEC7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812800</xdr:colOff>
      <xdr:row>9</xdr:row>
      <xdr:rowOff>0</xdr:rowOff>
    </xdr:from>
    <xdr:to>
      <xdr:col>9</xdr:col>
      <xdr:colOff>685800</xdr:colOff>
      <xdr:row>19</xdr:row>
      <xdr:rowOff>203200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CBE59604-90D4-CC4B-97C0-EB3BD86D59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drea/Desktop/eserciziario%20st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ni01"/>
      <sheetName val="chiquadrato02"/>
      <sheetName val="Gini04"/>
      <sheetName val="dipend in media"/>
      <sheetName val="Regress approf"/>
      <sheetName val="Regr04"/>
      <sheetName val="Regr05"/>
      <sheetName val="Regress Ponderata"/>
      <sheetName val="Binomiale01"/>
      <sheetName val="Poisson01-2"/>
      <sheetName val="Norma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1">
          <cell r="C21" t="str">
            <v>p(x)</v>
          </cell>
        </row>
      </sheetData>
      <sheetData sheetId="9">
        <row r="8">
          <cell r="O8" t="str">
            <v>p(x)bin</v>
          </cell>
        </row>
        <row r="9">
          <cell r="N9">
            <v>0</v>
          </cell>
          <cell r="O9">
            <v>0.36769542477096406</v>
          </cell>
        </row>
        <row r="10">
          <cell r="N10">
            <v>1</v>
          </cell>
          <cell r="O10">
            <v>0.36806348825922314</v>
          </cell>
        </row>
        <row r="11">
          <cell r="N11">
            <v>2</v>
          </cell>
          <cell r="O11">
            <v>0.18403174412961162</v>
          </cell>
        </row>
        <row r="12">
          <cell r="N12">
            <v>3</v>
          </cell>
          <cell r="O12">
            <v>6.1282509389840645E-2</v>
          </cell>
        </row>
        <row r="13">
          <cell r="N13">
            <v>4</v>
          </cell>
          <cell r="O13">
            <v>1.5289955420838618E-2</v>
          </cell>
        </row>
        <row r="14">
          <cell r="N14">
            <v>5</v>
          </cell>
          <cell r="O14">
            <v>3.0488079277588126E-3</v>
          </cell>
        </row>
        <row r="15">
          <cell r="N15">
            <v>6</v>
          </cell>
          <cell r="O15">
            <v>5.0610008143477038E-4</v>
          </cell>
        </row>
        <row r="16">
          <cell r="N16">
            <v>7</v>
          </cell>
          <cell r="O16">
            <v>7.1938149713450907E-5</v>
          </cell>
        </row>
        <row r="17">
          <cell r="N17">
            <v>8</v>
          </cell>
          <cell r="O17">
            <v>8.9382610942764039E-6</v>
          </cell>
        </row>
        <row r="18">
          <cell r="N18">
            <v>9</v>
          </cell>
          <cell r="O18">
            <v>9.8618118179536839E-7</v>
          </cell>
        </row>
        <row r="19">
          <cell r="N19">
            <v>10</v>
          </cell>
          <cell r="O19">
            <v>9.7828383499420175E-8</v>
          </cell>
        </row>
        <row r="20">
          <cell r="N20">
            <v>11</v>
          </cell>
          <cell r="O20">
            <v>8.8133678828306727E-9</v>
          </cell>
        </row>
        <row r="21">
          <cell r="N21">
            <v>12</v>
          </cell>
          <cell r="O21">
            <v>7.270954985084665E-10</v>
          </cell>
        </row>
        <row r="22">
          <cell r="N22">
            <v>13</v>
          </cell>
          <cell r="O22">
            <v>5.5314572459102705E-11</v>
          </cell>
        </row>
        <row r="23">
          <cell r="N23">
            <v>14</v>
          </cell>
          <cell r="O23">
            <v>3.9035809393060684E-12</v>
          </cell>
        </row>
        <row r="24">
          <cell r="N24">
            <v>15</v>
          </cell>
          <cell r="O24">
            <v>2.5685223931636851E-13</v>
          </cell>
        </row>
        <row r="25">
          <cell r="N25">
            <v>16</v>
          </cell>
          <cell r="O25">
            <v>1.5828294277191098E-14</v>
          </cell>
        </row>
        <row r="26">
          <cell r="N26">
            <v>17</v>
          </cell>
          <cell r="O26">
            <v>9.1709601182099663E-16</v>
          </cell>
        </row>
        <row r="27">
          <cell r="N27">
            <v>18</v>
          </cell>
          <cell r="O27">
            <v>5.0133765967080633E-17</v>
          </cell>
        </row>
        <row r="28">
          <cell r="N28">
            <v>19</v>
          </cell>
          <cell r="O28">
            <v>2.5937178325522088E-18</v>
          </cell>
        </row>
        <row r="29">
          <cell r="N29">
            <v>20</v>
          </cell>
          <cell r="O29">
            <v>1.2734920889558119E-19</v>
          </cell>
        </row>
        <row r="30">
          <cell r="N30">
            <v>21</v>
          </cell>
          <cell r="O30">
            <v>5.9489119937875282E-21</v>
          </cell>
        </row>
        <row r="31">
          <cell r="N31">
            <v>22</v>
          </cell>
          <cell r="O31">
            <v>2.6499157529884214E-22</v>
          </cell>
        </row>
      </sheetData>
      <sheetData sheetId="10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7EBC9-F357-6B4C-9379-9E2915630BD6}">
  <dimension ref="B2:D192"/>
  <sheetViews>
    <sheetView topLeftCell="A101" workbookViewId="0">
      <selection activeCell="C119" sqref="C119"/>
    </sheetView>
  </sheetViews>
  <sheetFormatPr baseColWidth="10" defaultRowHeight="24" x14ac:dyDescent="0.3"/>
  <cols>
    <col min="1" max="1" width="10.83203125" style="1"/>
    <col min="2" max="2" width="19.5" style="1" customWidth="1"/>
    <col min="3" max="3" width="18.1640625" style="1" bestFit="1" customWidth="1"/>
    <col min="4" max="16384" width="10.83203125" style="1"/>
  </cols>
  <sheetData>
    <row r="2" spans="2:4" x14ac:dyDescent="0.3">
      <c r="B2" s="1" t="s">
        <v>20</v>
      </c>
    </row>
    <row r="5" spans="2:4" x14ac:dyDescent="0.3">
      <c r="B5" s="1" t="s">
        <v>19</v>
      </c>
      <c r="D5" s="1">
        <f>_xlfn.NORM.S.DIST(1.65,TRUE)</f>
        <v>0.9505285319663519</v>
      </c>
    </row>
    <row r="6" spans="2:4" x14ac:dyDescent="0.3">
      <c r="D6" s="1">
        <f>_xlfn.NORM.DIST(1.65,0,1,TRUE)</f>
        <v>0.9505285319663519</v>
      </c>
    </row>
    <row r="15" spans="2:4" x14ac:dyDescent="0.3">
      <c r="B15" s="1" t="s">
        <v>18</v>
      </c>
      <c r="C15" s="1" t="s">
        <v>17</v>
      </c>
    </row>
    <row r="16" spans="2:4" x14ac:dyDescent="0.3">
      <c r="B16" s="1">
        <v>-4.5</v>
      </c>
      <c r="C16" s="1">
        <f t="shared" ref="C16:C47" si="0">_xlfn.NORM.S.DIST(B16,FALSE)</f>
        <v>1.5983741106905475E-5</v>
      </c>
    </row>
    <row r="17" spans="2:3" x14ac:dyDescent="0.3">
      <c r="B17" s="1">
        <v>-4.4000000000000004</v>
      </c>
      <c r="C17" s="1">
        <f t="shared" si="0"/>
        <v>2.4942471290053535E-5</v>
      </c>
    </row>
    <row r="18" spans="2:3" x14ac:dyDescent="0.3">
      <c r="B18" s="1">
        <v>-4.3</v>
      </c>
      <c r="C18" s="1">
        <f t="shared" si="0"/>
        <v>3.8535196742087129E-5</v>
      </c>
    </row>
    <row r="19" spans="2:3" x14ac:dyDescent="0.3">
      <c r="B19" s="1">
        <v>-4.2</v>
      </c>
      <c r="C19" s="1">
        <f t="shared" si="0"/>
        <v>5.8943067756539855E-5</v>
      </c>
    </row>
    <row r="20" spans="2:3" x14ac:dyDescent="0.3">
      <c r="B20" s="1">
        <v>-4.0999999999999996</v>
      </c>
      <c r="C20" s="1">
        <f t="shared" si="0"/>
        <v>8.9261657177132928E-5</v>
      </c>
    </row>
    <row r="21" spans="2:3" x14ac:dyDescent="0.3">
      <c r="B21" s="1">
        <v>-4</v>
      </c>
      <c r="C21" s="1">
        <f t="shared" si="0"/>
        <v>1.3383022576488537E-4</v>
      </c>
    </row>
    <row r="22" spans="2:3" x14ac:dyDescent="0.3">
      <c r="B22" s="1">
        <v>-3.9</v>
      </c>
      <c r="C22" s="1">
        <f t="shared" si="0"/>
        <v>1.9865547139277272E-4</v>
      </c>
    </row>
    <row r="23" spans="2:3" x14ac:dyDescent="0.3">
      <c r="B23" s="1">
        <v>-3.8</v>
      </c>
      <c r="C23" s="1">
        <f t="shared" si="0"/>
        <v>2.9194692579146027E-4</v>
      </c>
    </row>
    <row r="24" spans="2:3" x14ac:dyDescent="0.3">
      <c r="B24" s="1">
        <v>-3.7</v>
      </c>
      <c r="C24" s="1">
        <f t="shared" si="0"/>
        <v>4.2478027055075143E-4</v>
      </c>
    </row>
    <row r="25" spans="2:3" x14ac:dyDescent="0.3">
      <c r="B25" s="1">
        <v>-3.6</v>
      </c>
      <c r="C25" s="1">
        <f t="shared" si="0"/>
        <v>6.119019301137719E-4</v>
      </c>
    </row>
    <row r="26" spans="2:3" x14ac:dyDescent="0.3">
      <c r="B26" s="1">
        <v>-3.5</v>
      </c>
      <c r="C26" s="1">
        <f t="shared" si="0"/>
        <v>8.7268269504576015E-4</v>
      </c>
    </row>
    <row r="27" spans="2:3" x14ac:dyDescent="0.3">
      <c r="B27" s="1">
        <v>-3.4</v>
      </c>
      <c r="C27" s="1">
        <f t="shared" si="0"/>
        <v>1.2322191684730199E-3</v>
      </c>
    </row>
    <row r="28" spans="2:3" x14ac:dyDescent="0.3">
      <c r="B28" s="1">
        <v>-3.3</v>
      </c>
      <c r="C28" s="1">
        <f t="shared" si="0"/>
        <v>1.7225689390536812E-3</v>
      </c>
    </row>
    <row r="29" spans="2:3" x14ac:dyDescent="0.3">
      <c r="B29" s="1">
        <v>-3.2</v>
      </c>
      <c r="C29" s="1">
        <f t="shared" si="0"/>
        <v>2.3840882014648404E-3</v>
      </c>
    </row>
    <row r="30" spans="2:3" x14ac:dyDescent="0.3">
      <c r="B30" s="1">
        <v>-3.1</v>
      </c>
      <c r="C30" s="1">
        <f t="shared" si="0"/>
        <v>3.2668190561999182E-3</v>
      </c>
    </row>
    <row r="31" spans="2:3" x14ac:dyDescent="0.3">
      <c r="B31" s="1">
        <v>-3.0000000000000102</v>
      </c>
      <c r="C31" s="1">
        <f t="shared" si="0"/>
        <v>4.431848411937874E-3</v>
      </c>
    </row>
    <row r="32" spans="2:3" x14ac:dyDescent="0.3">
      <c r="B32" s="1">
        <v>-2.9000000000000101</v>
      </c>
      <c r="C32" s="1">
        <f t="shared" si="0"/>
        <v>5.9525324197756795E-3</v>
      </c>
    </row>
    <row r="33" spans="2:3" x14ac:dyDescent="0.3">
      <c r="B33" s="1">
        <v>-2.80000000000001</v>
      </c>
      <c r="C33" s="1">
        <f t="shared" si="0"/>
        <v>7.915451582979743E-3</v>
      </c>
    </row>
    <row r="34" spans="2:3" x14ac:dyDescent="0.3">
      <c r="B34" s="1">
        <v>-2.7000000000000099</v>
      </c>
      <c r="C34" s="1">
        <f t="shared" si="0"/>
        <v>1.0420934814422318E-2</v>
      </c>
    </row>
    <row r="35" spans="2:3" x14ac:dyDescent="0.3">
      <c r="B35" s="1">
        <v>-2.6000000000000099</v>
      </c>
      <c r="C35" s="1">
        <f t="shared" si="0"/>
        <v>1.3582969233685271E-2</v>
      </c>
    </row>
    <row r="36" spans="2:3" x14ac:dyDescent="0.3">
      <c r="B36" s="1">
        <v>-2.5000000000000102</v>
      </c>
      <c r="C36" s="1">
        <f t="shared" si="0"/>
        <v>1.7528300493568086E-2</v>
      </c>
    </row>
    <row r="37" spans="2:3" x14ac:dyDescent="0.3">
      <c r="B37" s="1">
        <v>-2.4000000000000101</v>
      </c>
      <c r="C37" s="1">
        <f t="shared" si="0"/>
        <v>2.2394530294842355E-2</v>
      </c>
    </row>
    <row r="38" spans="2:3" x14ac:dyDescent="0.3">
      <c r="B38" s="1">
        <v>-2.30000000000001</v>
      </c>
      <c r="C38" s="1">
        <f t="shared" si="0"/>
        <v>2.8327037741600516E-2</v>
      </c>
    </row>
    <row r="39" spans="2:3" x14ac:dyDescent="0.3">
      <c r="B39" s="1">
        <v>-2.2000000000000099</v>
      </c>
      <c r="C39" s="1">
        <f t="shared" si="0"/>
        <v>3.5474592846230668E-2</v>
      </c>
    </row>
    <row r="40" spans="2:3" x14ac:dyDescent="0.3">
      <c r="B40" s="1">
        <v>-2.1000000000000099</v>
      </c>
      <c r="C40" s="1">
        <f t="shared" si="0"/>
        <v>4.3983595980426296E-2</v>
      </c>
    </row>
    <row r="41" spans="2:3" x14ac:dyDescent="0.3">
      <c r="B41" s="1">
        <v>-2.0000000000000102</v>
      </c>
      <c r="C41" s="1">
        <f t="shared" si="0"/>
        <v>5.3990966513186953E-2</v>
      </c>
    </row>
    <row r="42" spans="2:3" x14ac:dyDescent="0.3">
      <c r="B42" s="1">
        <v>-1.9000000000000099</v>
      </c>
      <c r="C42" s="1">
        <f t="shared" si="0"/>
        <v>6.561581477467536E-2</v>
      </c>
    </row>
    <row r="43" spans="2:3" x14ac:dyDescent="0.3">
      <c r="B43" s="1">
        <v>-1.80000000000001</v>
      </c>
      <c r="C43" s="1">
        <f t="shared" si="0"/>
        <v>7.8950158300892734E-2</v>
      </c>
    </row>
    <row r="44" spans="2:3" x14ac:dyDescent="0.3">
      <c r="B44" s="1">
        <v>-1.7000000000000099</v>
      </c>
      <c r="C44" s="1">
        <f t="shared" si="0"/>
        <v>9.4049077376885337E-2</v>
      </c>
    </row>
    <row r="45" spans="2:3" x14ac:dyDescent="0.3">
      <c r="B45" s="1">
        <v>-1.6000000000000101</v>
      </c>
      <c r="C45" s="1">
        <f t="shared" si="0"/>
        <v>0.11092083467945377</v>
      </c>
    </row>
    <row r="46" spans="2:3" x14ac:dyDescent="0.3">
      <c r="B46" s="1">
        <v>-1.50000000000001</v>
      </c>
      <c r="C46" s="1">
        <f t="shared" si="0"/>
        <v>0.1295175956658898</v>
      </c>
    </row>
    <row r="47" spans="2:3" x14ac:dyDescent="0.3">
      <c r="B47" s="1">
        <v>-1.4000000000000099</v>
      </c>
      <c r="C47" s="1">
        <f t="shared" si="0"/>
        <v>0.1497274656357428</v>
      </c>
    </row>
    <row r="48" spans="2:3" x14ac:dyDescent="0.3">
      <c r="B48" s="1">
        <v>-1.30000000000001</v>
      </c>
      <c r="C48" s="1">
        <f t="shared" ref="C48:C79" si="1">_xlfn.NORM.S.DIST(B48,FALSE)</f>
        <v>0.17136859204780513</v>
      </c>
    </row>
    <row r="49" spans="2:3" x14ac:dyDescent="0.3">
      <c r="B49" s="1">
        <v>-1.2000000000000099</v>
      </c>
      <c r="C49" s="1">
        <f t="shared" si="1"/>
        <v>0.19418605498321065</v>
      </c>
    </row>
    <row r="50" spans="2:3" x14ac:dyDescent="0.3">
      <c r="B50" s="1">
        <v>-1.1000000000000101</v>
      </c>
      <c r="C50" s="1">
        <f t="shared" si="1"/>
        <v>0.21785217703254814</v>
      </c>
    </row>
    <row r="51" spans="2:3" x14ac:dyDescent="0.3">
      <c r="B51" s="1">
        <v>-1.00000000000001</v>
      </c>
      <c r="C51" s="1">
        <f t="shared" si="1"/>
        <v>0.24197072451914092</v>
      </c>
    </row>
    <row r="52" spans="2:3" x14ac:dyDescent="0.3">
      <c r="B52" s="1">
        <v>-0.90000000000001001</v>
      </c>
      <c r="C52" s="1">
        <f t="shared" si="1"/>
        <v>0.26608524989875243</v>
      </c>
    </row>
    <row r="53" spans="2:3" x14ac:dyDescent="0.3">
      <c r="B53" s="1">
        <v>-0.80000000000001004</v>
      </c>
      <c r="C53" s="1">
        <f t="shared" si="1"/>
        <v>0.2896915527614804</v>
      </c>
    </row>
    <row r="54" spans="2:3" x14ac:dyDescent="0.3">
      <c r="B54" s="1">
        <v>-0.70000000000000995</v>
      </c>
      <c r="C54" s="1">
        <f t="shared" si="1"/>
        <v>0.31225393336675911</v>
      </c>
    </row>
    <row r="55" spans="2:3" x14ac:dyDescent="0.3">
      <c r="B55" s="1">
        <v>-0.60000000000000997</v>
      </c>
      <c r="C55" s="1">
        <f t="shared" si="1"/>
        <v>0.33322460289179767</v>
      </c>
    </row>
    <row r="56" spans="2:3" x14ac:dyDescent="0.3">
      <c r="B56" s="1">
        <v>-0.50000000000000999</v>
      </c>
      <c r="C56" s="1">
        <f t="shared" si="1"/>
        <v>0.35206532676429775</v>
      </c>
    </row>
    <row r="57" spans="2:3" x14ac:dyDescent="0.3">
      <c r="B57" s="1">
        <v>-0.40000000000001001</v>
      </c>
      <c r="C57" s="1">
        <f t="shared" si="1"/>
        <v>0.36827014030332184</v>
      </c>
    </row>
    <row r="58" spans="2:3" x14ac:dyDescent="0.3">
      <c r="B58" s="1">
        <v>-0.30000000000000998</v>
      </c>
      <c r="C58" s="1">
        <f t="shared" si="1"/>
        <v>0.38138781546052297</v>
      </c>
    </row>
    <row r="59" spans="2:3" x14ac:dyDescent="0.3">
      <c r="B59" s="1">
        <v>-0.20000000000002</v>
      </c>
      <c r="C59" s="1">
        <f t="shared" si="1"/>
        <v>0.39104269397545433</v>
      </c>
    </row>
    <row r="60" spans="2:3" x14ac:dyDescent="0.3">
      <c r="B60" s="1">
        <v>-0.10000000000002</v>
      </c>
      <c r="C60" s="1">
        <f t="shared" si="1"/>
        <v>0.39695254747701098</v>
      </c>
    </row>
    <row r="61" spans="2:3" x14ac:dyDescent="0.3">
      <c r="B61" s="1">
        <v>-2.0428103653102899E-14</v>
      </c>
      <c r="C61" s="1">
        <f t="shared" si="1"/>
        <v>0.3989422804014327</v>
      </c>
    </row>
    <row r="62" spans="2:3" x14ac:dyDescent="0.3">
      <c r="B62" s="1">
        <v>9.9999999999980105E-2</v>
      </c>
      <c r="C62" s="1">
        <f t="shared" si="1"/>
        <v>0.39695254747701259</v>
      </c>
    </row>
    <row r="63" spans="2:3" x14ac:dyDescent="0.3">
      <c r="B63" s="1">
        <v>0.19999999999998</v>
      </c>
      <c r="C63" s="1">
        <f t="shared" si="1"/>
        <v>0.39104269397545749</v>
      </c>
    </row>
    <row r="64" spans="2:3" x14ac:dyDescent="0.3">
      <c r="B64" s="1">
        <v>0.29999999999998</v>
      </c>
      <c r="C64" s="1">
        <f t="shared" si="1"/>
        <v>0.38138781546052641</v>
      </c>
    </row>
    <row r="65" spans="2:3" x14ac:dyDescent="0.3">
      <c r="B65" s="1">
        <v>0.39999999999997998</v>
      </c>
      <c r="C65" s="1">
        <f t="shared" si="1"/>
        <v>0.36827014030332628</v>
      </c>
    </row>
    <row r="66" spans="2:3" x14ac:dyDescent="0.3">
      <c r="B66" s="1">
        <v>0.49999999999998002</v>
      </c>
      <c r="C66" s="1">
        <f t="shared" si="1"/>
        <v>0.35206532676430302</v>
      </c>
    </row>
    <row r="67" spans="2:3" x14ac:dyDescent="0.3">
      <c r="B67" s="1">
        <v>0.59999999999997999</v>
      </c>
      <c r="C67" s="1">
        <f t="shared" si="1"/>
        <v>0.33322460289180361</v>
      </c>
    </row>
    <row r="68" spans="2:3" x14ac:dyDescent="0.3">
      <c r="B68" s="1">
        <v>0.69999999999997997</v>
      </c>
      <c r="C68" s="1">
        <f t="shared" si="1"/>
        <v>0.31225393336676566</v>
      </c>
    </row>
    <row r="69" spans="2:3" x14ac:dyDescent="0.3">
      <c r="B69" s="1">
        <v>0.79999999999997995</v>
      </c>
      <c r="C69" s="1">
        <f t="shared" si="1"/>
        <v>0.28969155276148739</v>
      </c>
    </row>
    <row r="70" spans="2:3" x14ac:dyDescent="0.3">
      <c r="B70" s="1">
        <v>0.89999999999998004</v>
      </c>
      <c r="C70" s="1">
        <f t="shared" si="1"/>
        <v>0.26608524989875959</v>
      </c>
    </row>
    <row r="71" spans="2:3" x14ac:dyDescent="0.3">
      <c r="B71" s="1">
        <v>0.99999999999998002</v>
      </c>
      <c r="C71" s="1">
        <f t="shared" si="1"/>
        <v>0.24197072451914819</v>
      </c>
    </row>
    <row r="72" spans="2:3" x14ac:dyDescent="0.3">
      <c r="B72" s="1">
        <v>1.0999999999999801</v>
      </c>
      <c r="C72" s="1">
        <f t="shared" si="1"/>
        <v>0.21785217703255533</v>
      </c>
    </row>
    <row r="73" spans="2:3" x14ac:dyDescent="0.3">
      <c r="B73" s="1">
        <v>1.19999999999998</v>
      </c>
      <c r="C73" s="1">
        <f t="shared" si="1"/>
        <v>0.19418605498321762</v>
      </c>
    </row>
    <row r="74" spans="2:3" x14ac:dyDescent="0.3">
      <c r="B74" s="1">
        <v>1.2999999999999801</v>
      </c>
      <c r="C74" s="1">
        <f t="shared" si="1"/>
        <v>0.1713685920478118</v>
      </c>
    </row>
    <row r="75" spans="2:3" x14ac:dyDescent="0.3">
      <c r="B75" s="1">
        <v>1.3999999999999799</v>
      </c>
      <c r="C75" s="1">
        <f t="shared" si="1"/>
        <v>0.14972746563574907</v>
      </c>
    </row>
    <row r="76" spans="2:3" x14ac:dyDescent="0.3">
      <c r="B76" s="1">
        <v>1.49999999999998</v>
      </c>
      <c r="C76" s="1">
        <f t="shared" si="1"/>
        <v>0.1295175956658956</v>
      </c>
    </row>
    <row r="77" spans="2:3" x14ac:dyDescent="0.3">
      <c r="B77" s="1">
        <v>1.5999999999999801</v>
      </c>
      <c r="C77" s="1">
        <f t="shared" si="1"/>
        <v>0.11092083467945908</v>
      </c>
    </row>
    <row r="78" spans="2:3" x14ac:dyDescent="0.3">
      <c r="B78" s="1">
        <v>1.69999999999998</v>
      </c>
      <c r="C78" s="1">
        <f t="shared" si="1"/>
        <v>9.4049077376890139E-2</v>
      </c>
    </row>
    <row r="79" spans="2:3" x14ac:dyDescent="0.3">
      <c r="B79" s="1">
        <v>1.7999999999999801</v>
      </c>
      <c r="C79" s="1">
        <f t="shared" si="1"/>
        <v>7.8950158300896994E-2</v>
      </c>
    </row>
    <row r="80" spans="2:3" x14ac:dyDescent="0.3">
      <c r="B80" s="1">
        <v>1.8999999999999799</v>
      </c>
      <c r="C80" s="1">
        <f t="shared" ref="C80:C107" si="2">_xlfn.NORM.S.DIST(B80,FALSE)</f>
        <v>6.5615814774679093E-2</v>
      </c>
    </row>
    <row r="81" spans="2:3" x14ac:dyDescent="0.3">
      <c r="B81" s="1">
        <v>1.99999999999998</v>
      </c>
      <c r="C81" s="1">
        <f t="shared" si="2"/>
        <v>5.3990966513190221E-2</v>
      </c>
    </row>
    <row r="82" spans="2:3" x14ac:dyDescent="0.3">
      <c r="B82" s="1">
        <v>2.0999999999999801</v>
      </c>
      <c r="C82" s="1">
        <f t="shared" si="2"/>
        <v>4.398359598042903E-2</v>
      </c>
    </row>
    <row r="83" spans="2:3" x14ac:dyDescent="0.3">
      <c r="B83" s="1">
        <v>2.1999999999999802</v>
      </c>
      <c r="C83" s="1">
        <f t="shared" si="2"/>
        <v>3.5474592846232986E-2</v>
      </c>
    </row>
    <row r="84" spans="2:3" x14ac:dyDescent="0.3">
      <c r="B84" s="1">
        <v>2.2999999999999798</v>
      </c>
      <c r="C84" s="1">
        <f t="shared" si="2"/>
        <v>2.8327037741602484E-2</v>
      </c>
    </row>
    <row r="85" spans="2:3" x14ac:dyDescent="0.3">
      <c r="B85" s="1">
        <v>2.3999999999999799</v>
      </c>
      <c r="C85" s="1">
        <f t="shared" si="2"/>
        <v>2.2394530294843975E-2</v>
      </c>
    </row>
    <row r="86" spans="2:3" x14ac:dyDescent="0.3">
      <c r="B86" s="1">
        <v>2.49999999999998</v>
      </c>
      <c r="C86" s="1">
        <f t="shared" si="2"/>
        <v>1.7528300493569411E-2</v>
      </c>
    </row>
    <row r="87" spans="2:3" x14ac:dyDescent="0.3">
      <c r="B87" s="1">
        <v>2.5999999999999699</v>
      </c>
      <c r="C87" s="1">
        <f t="shared" si="2"/>
        <v>1.3582969233686681E-2</v>
      </c>
    </row>
    <row r="88" spans="2:3" x14ac:dyDescent="0.3">
      <c r="B88" s="1">
        <v>2.69999999999997</v>
      </c>
      <c r="C88" s="1">
        <f t="shared" si="2"/>
        <v>1.0420934814423442E-2</v>
      </c>
    </row>
    <row r="89" spans="2:3" x14ac:dyDescent="0.3">
      <c r="B89" s="1">
        <v>2.7999999999999701</v>
      </c>
      <c r="C89" s="1">
        <f t="shared" si="2"/>
        <v>7.9154515829806277E-3</v>
      </c>
    </row>
    <row r="90" spans="2:3" x14ac:dyDescent="0.3">
      <c r="B90" s="1">
        <v>2.8999999999999702</v>
      </c>
      <c r="C90" s="1">
        <f t="shared" si="2"/>
        <v>5.9525324197763725E-3</v>
      </c>
    </row>
    <row r="91" spans="2:3" x14ac:dyDescent="0.3">
      <c r="B91" s="1">
        <v>2.9999999999999698</v>
      </c>
      <c r="C91" s="1">
        <f t="shared" si="2"/>
        <v>4.4318484119384082E-3</v>
      </c>
    </row>
    <row r="92" spans="2:3" x14ac:dyDescent="0.3">
      <c r="B92" s="1">
        <v>3.0999999999999699</v>
      </c>
      <c r="C92" s="1">
        <f t="shared" si="2"/>
        <v>3.2668190562002266E-3</v>
      </c>
    </row>
    <row r="93" spans="2:3" x14ac:dyDescent="0.3">
      <c r="B93" s="1">
        <v>3.19999999999997</v>
      </c>
      <c r="C93" s="1">
        <f t="shared" si="2"/>
        <v>2.3840882014650711E-3</v>
      </c>
    </row>
    <row r="94" spans="2:3" x14ac:dyDescent="0.3">
      <c r="B94" s="1">
        <v>3.2999999999999701</v>
      </c>
      <c r="C94" s="1">
        <f t="shared" si="2"/>
        <v>1.722568939053851E-3</v>
      </c>
    </row>
    <row r="95" spans="2:3" x14ac:dyDescent="0.3">
      <c r="B95" s="1">
        <v>3.3999999999999702</v>
      </c>
      <c r="C95" s="1">
        <f t="shared" si="2"/>
        <v>1.2322191684731446E-3</v>
      </c>
    </row>
    <row r="96" spans="2:3" x14ac:dyDescent="0.3">
      <c r="B96" s="1">
        <v>3.4999999999999698</v>
      </c>
      <c r="C96" s="1">
        <f t="shared" si="2"/>
        <v>8.7268269504585231E-4</v>
      </c>
    </row>
    <row r="97" spans="2:3" x14ac:dyDescent="0.3">
      <c r="B97" s="1">
        <v>3.5999999999999699</v>
      </c>
      <c r="C97" s="1">
        <f t="shared" si="2"/>
        <v>6.1190193011383879E-4</v>
      </c>
    </row>
    <row r="98" spans="2:3" x14ac:dyDescent="0.3">
      <c r="B98" s="1">
        <v>3.69999999999997</v>
      </c>
      <c r="C98" s="1">
        <f t="shared" si="2"/>
        <v>4.2478027055079903E-4</v>
      </c>
    </row>
    <row r="99" spans="2:3" x14ac:dyDescent="0.3">
      <c r="B99" s="1">
        <v>3.7999999999999701</v>
      </c>
      <c r="C99" s="1">
        <f t="shared" si="2"/>
        <v>2.9194692579149345E-4</v>
      </c>
    </row>
    <row r="100" spans="2:3" x14ac:dyDescent="0.3">
      <c r="B100" s="1">
        <v>3.8999999999999702</v>
      </c>
      <c r="C100" s="1">
        <f t="shared" si="2"/>
        <v>1.9865547139279581E-4</v>
      </c>
    </row>
    <row r="101" spans="2:3" x14ac:dyDescent="0.3">
      <c r="B101" s="1">
        <v>3.9999999999999698</v>
      </c>
      <c r="C101" s="1">
        <f t="shared" si="2"/>
        <v>1.3383022576490152E-4</v>
      </c>
    </row>
    <row r="102" spans="2:3" x14ac:dyDescent="0.3">
      <c r="B102" s="1">
        <v>4.0999999999999703</v>
      </c>
      <c r="C102" s="1">
        <f t="shared" si="2"/>
        <v>8.9261657177143702E-5</v>
      </c>
    </row>
    <row r="103" spans="2:3" x14ac:dyDescent="0.3">
      <c r="B103" s="1">
        <v>4.19999999999997</v>
      </c>
      <c r="C103" s="1">
        <f t="shared" si="2"/>
        <v>5.8943067756547288E-5</v>
      </c>
    </row>
    <row r="104" spans="2:3" x14ac:dyDescent="0.3">
      <c r="B104" s="1">
        <v>4.2999999999999696</v>
      </c>
      <c r="C104" s="1">
        <f t="shared" si="2"/>
        <v>3.8535196742092124E-5</v>
      </c>
    </row>
    <row r="105" spans="2:3" x14ac:dyDescent="0.3">
      <c r="B105" s="1">
        <v>4.3999999999999702</v>
      </c>
      <c r="C105" s="1">
        <f t="shared" si="2"/>
        <v>2.4942471290056852E-5</v>
      </c>
    </row>
    <row r="106" spans="2:3" x14ac:dyDescent="0.3">
      <c r="B106" s="1">
        <v>4.4999999999999698</v>
      </c>
      <c r="C106" s="1">
        <f t="shared" si="2"/>
        <v>1.5983741106907633E-5</v>
      </c>
    </row>
    <row r="107" spans="2:3" x14ac:dyDescent="0.3">
      <c r="B107" s="1">
        <v>4.5999999999999703</v>
      </c>
      <c r="C107" s="1">
        <f t="shared" si="2"/>
        <v>1.0140852065488129E-5</v>
      </c>
    </row>
    <row r="113" spans="2:3" x14ac:dyDescent="0.3">
      <c r="B113" s="1" t="s">
        <v>16</v>
      </c>
    </row>
    <row r="117" spans="2:3" x14ac:dyDescent="0.3">
      <c r="B117" s="1" t="s">
        <v>15</v>
      </c>
      <c r="C117" s="2">
        <f>_xlfn.NORM.S.DIST(0.48,TRUE)</f>
        <v>0.68438630348377738</v>
      </c>
    </row>
    <row r="122" spans="2:3" x14ac:dyDescent="0.3">
      <c r="B122" s="1" t="s">
        <v>14</v>
      </c>
      <c r="C122" s="1">
        <f>_xlfn.NORM.S.DIST(3,TRUE)</f>
        <v>0.9986501019683699</v>
      </c>
    </row>
    <row r="128" spans="2:3" x14ac:dyDescent="0.3">
      <c r="B128" s="1" t="s">
        <v>13</v>
      </c>
      <c r="C128" s="1">
        <f>1-_xlfn.NORM.S.DIST(0.48,TRUE)</f>
        <v>0.31561369651622262</v>
      </c>
    </row>
    <row r="137" spans="2:3" x14ac:dyDescent="0.3">
      <c r="B137" s="1" t="s">
        <v>12</v>
      </c>
      <c r="C137" s="1">
        <f>1-_xlfn.NORM.S.DIST(3,TRUE)</f>
        <v>1.3498980316301035E-3</v>
      </c>
    </row>
    <row r="144" spans="2:3" x14ac:dyDescent="0.3">
      <c r="B144" s="1" t="s">
        <v>11</v>
      </c>
      <c r="C144" s="1">
        <f>1-_xlfn.NORM.S.DIST(-2.56,TRUE)</f>
        <v>0.99476639183644422</v>
      </c>
    </row>
    <row r="150" spans="2:3" x14ac:dyDescent="0.3">
      <c r="B150" s="1" t="s">
        <v>10</v>
      </c>
      <c r="C150" s="1">
        <f>1-_xlfn.NORM.DIST(-1.28,0,1,TRUE)</f>
        <v>0.89972743204555794</v>
      </c>
    </row>
    <row r="151" spans="2:3" x14ac:dyDescent="0.3">
      <c r="C151" s="1">
        <f>1-_xlfn.NORM.S.DIST(-1.28,TRUE)</f>
        <v>0.89972743204555794</v>
      </c>
    </row>
    <row r="156" spans="2:3" x14ac:dyDescent="0.3">
      <c r="B156" s="1" t="s">
        <v>9</v>
      </c>
      <c r="C156" s="1">
        <f>_xlfn.NORM.S.DIST(-2.56,TRUE)</f>
        <v>5.2336081635557816E-3</v>
      </c>
    </row>
    <row r="162" spans="2:4" x14ac:dyDescent="0.3">
      <c r="B162" s="1" t="s">
        <v>8</v>
      </c>
      <c r="C162" s="1">
        <f>_xlfn.NORM.S.DIST(-1.28,TRUE)</f>
        <v>0.10027256795444205</v>
      </c>
    </row>
    <row r="168" spans="2:4" x14ac:dyDescent="0.3">
      <c r="B168" s="1" t="s">
        <v>4</v>
      </c>
      <c r="C168" s="1">
        <f>_xlfn.NORM.S.DIST(1.67,TRUE)-0.5</f>
        <v>0.45254031819705265</v>
      </c>
    </row>
    <row r="169" spans="2:4" x14ac:dyDescent="0.3">
      <c r="C169" s="1">
        <f>_xlfn.NORM.S.DIST(1.67,TRUE)-_xlfn.NORM.S.DIST(0,TRUE)</f>
        <v>0.45254031819705265</v>
      </c>
    </row>
    <row r="171" spans="2:4" x14ac:dyDescent="0.3">
      <c r="B171" s="1" t="s">
        <v>7</v>
      </c>
      <c r="C171" s="1">
        <f>_xlfn.NORM.S.DIST(1.67,TRUE)</f>
        <v>0.95254031819705265</v>
      </c>
      <c r="D171" s="1" t="s">
        <v>6</v>
      </c>
    </row>
    <row r="172" spans="2:4" x14ac:dyDescent="0.3">
      <c r="B172" s="1" t="s">
        <v>5</v>
      </c>
      <c r="C172" s="1">
        <f>_xlfn.NORM.S.DIST(0,TRUE)</f>
        <v>0.5</v>
      </c>
    </row>
    <row r="173" spans="2:4" x14ac:dyDescent="0.3">
      <c r="B173" s="1" t="s">
        <v>4</v>
      </c>
      <c r="C173" s="1">
        <f>C171-C172</f>
        <v>0.45254031819705265</v>
      </c>
    </row>
    <row r="175" spans="2:4" x14ac:dyDescent="0.3">
      <c r="B175" s="1" t="s">
        <v>3</v>
      </c>
      <c r="C175" s="1">
        <f>_xlfn.NORM.S.DIST(0,TRUE)-_xlfn.NORM.S.DIST(-0.25,TRUE)</f>
        <v>9.8706325682923701E-2</v>
      </c>
    </row>
    <row r="180" spans="2:3" x14ac:dyDescent="0.3">
      <c r="B180" s="1" t="s">
        <v>2</v>
      </c>
      <c r="C180" s="1">
        <f>_xlfn.NORM.S.DIST(1.52,TRUE)-_xlfn.NORM.S.DIST(0.75,TRUE)</f>
        <v>0.16237186455793251</v>
      </c>
    </row>
    <row r="186" spans="2:3" x14ac:dyDescent="0.3">
      <c r="B186" s="1" t="s">
        <v>1</v>
      </c>
      <c r="C186" s="1">
        <f>_xlfn.NORM.S.DIST(-1,TRUE)-_xlfn.NORM.S.DIST(-2,TRUE)</f>
        <v>0.13590512198327781</v>
      </c>
    </row>
    <row r="192" spans="2:3" x14ac:dyDescent="0.3">
      <c r="B192" s="1" t="s">
        <v>0</v>
      </c>
      <c r="C192" s="1">
        <f>_xlfn.NORM.S.DIST(1.12,TRUE)-_xlfn.NORM.S.DIST(-1.25,TRUE)</f>
        <v>0.76299334529041407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64087-D82D-4C44-B30E-47DF3D43D2C2}">
  <dimension ref="A6:C37"/>
  <sheetViews>
    <sheetView topLeftCell="A20" workbookViewId="0">
      <selection activeCell="C38" sqref="C38"/>
    </sheetView>
  </sheetViews>
  <sheetFormatPr baseColWidth="10" defaultRowHeight="24" x14ac:dyDescent="0.3"/>
  <cols>
    <col min="1" max="16384" width="10.83203125" style="1"/>
  </cols>
  <sheetData>
    <row r="6" spans="1:3" x14ac:dyDescent="0.3">
      <c r="A6" s="1" t="s">
        <v>36</v>
      </c>
      <c r="B6" s="1" t="s">
        <v>35</v>
      </c>
    </row>
    <row r="8" spans="1:3" x14ac:dyDescent="0.3">
      <c r="B8" s="1" t="s">
        <v>34</v>
      </c>
      <c r="C8" s="1">
        <f>NORMSINV(0.9)</f>
        <v>1.2815515655446006</v>
      </c>
    </row>
    <row r="9" spans="1:3" x14ac:dyDescent="0.3">
      <c r="C9" s="1">
        <f>_xlfn.NORM.INV(0.9,0,1)</f>
        <v>1.2815515655446006</v>
      </c>
    </row>
    <row r="11" spans="1:3" x14ac:dyDescent="0.3">
      <c r="A11" s="1" t="s">
        <v>33</v>
      </c>
      <c r="B11" s="1" t="s">
        <v>32</v>
      </c>
    </row>
    <row r="13" spans="1:3" x14ac:dyDescent="0.3">
      <c r="B13" s="1" t="s">
        <v>31</v>
      </c>
      <c r="C13" s="1">
        <v>0</v>
      </c>
    </row>
    <row r="14" spans="1:3" x14ac:dyDescent="0.3">
      <c r="C14" s="1">
        <f>_xlfn.NORM.S.INV(0.5)</f>
        <v>0</v>
      </c>
    </row>
    <row r="17" spans="1:3" x14ac:dyDescent="0.3">
      <c r="A17" s="1" t="s">
        <v>30</v>
      </c>
      <c r="B17" s="1" t="s">
        <v>29</v>
      </c>
    </row>
    <row r="19" spans="1:3" x14ac:dyDescent="0.3">
      <c r="B19" s="1" t="s">
        <v>28</v>
      </c>
      <c r="C19" s="1">
        <f>_xlfn.NORM.S.INV(0.33)</f>
        <v>-0.43991316567323374</v>
      </c>
    </row>
    <row r="23" spans="1:3" x14ac:dyDescent="0.3">
      <c r="A23" s="1" t="s">
        <v>27</v>
      </c>
      <c r="B23" s="1" t="s">
        <v>26</v>
      </c>
    </row>
    <row r="25" spans="1:3" x14ac:dyDescent="0.3">
      <c r="B25" s="1" t="s">
        <v>25</v>
      </c>
      <c r="C25" s="2">
        <f>NORMSINV(0.46)</f>
        <v>-0.10043372051146976</v>
      </c>
    </row>
    <row r="31" spans="1:3" x14ac:dyDescent="0.3">
      <c r="A31" s="1" t="s">
        <v>24</v>
      </c>
      <c r="B31" s="1" t="s">
        <v>23</v>
      </c>
      <c r="C31" s="2">
        <f>_xlfn.NORM.S.INV(0.15)</f>
        <v>-1.0364333894937898</v>
      </c>
    </row>
    <row r="37" spans="1:3" x14ac:dyDescent="0.3">
      <c r="A37" s="1" t="s">
        <v>22</v>
      </c>
      <c r="B37" s="1" t="s">
        <v>21</v>
      </c>
      <c r="C37" s="1">
        <f>_xlfn.NORM.S.INV(0.85)</f>
        <v>1.0364333894937898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75EC0-6845-7048-B7BF-9998E153EDC5}">
  <dimension ref="B4:R95"/>
  <sheetViews>
    <sheetView topLeftCell="A80" workbookViewId="0">
      <selection activeCell="C95" sqref="C95"/>
    </sheetView>
  </sheetViews>
  <sheetFormatPr baseColWidth="10" defaultRowHeight="24" x14ac:dyDescent="0.3"/>
  <cols>
    <col min="1" max="2" width="10.83203125" style="1"/>
    <col min="3" max="3" width="13.83203125" style="1" customWidth="1"/>
    <col min="4" max="4" width="14.6640625" style="1" customWidth="1"/>
    <col min="5" max="5" width="16.1640625" style="1" bestFit="1" customWidth="1"/>
    <col min="6" max="17" width="10.83203125" style="1"/>
    <col min="18" max="18" width="18.1640625" style="1" bestFit="1" customWidth="1"/>
    <col min="19" max="16384" width="10.83203125" style="1"/>
  </cols>
  <sheetData>
    <row r="4" spans="2:18" x14ac:dyDescent="0.3">
      <c r="B4" s="4" t="s">
        <v>51</v>
      </c>
    </row>
    <row r="5" spans="2:18" x14ac:dyDescent="0.3">
      <c r="B5" s="4"/>
    </row>
    <row r="6" spans="2:18" x14ac:dyDescent="0.3">
      <c r="B6" s="4" t="s">
        <v>87</v>
      </c>
    </row>
    <row r="7" spans="2:18" x14ac:dyDescent="0.3">
      <c r="B7" s="3" t="s">
        <v>81</v>
      </c>
      <c r="Q7" s="1" t="s">
        <v>49</v>
      </c>
      <c r="R7" s="1">
        <v>175</v>
      </c>
    </row>
    <row r="8" spans="2:18" x14ac:dyDescent="0.3">
      <c r="B8" s="3" t="s">
        <v>75</v>
      </c>
      <c r="Q8" s="1" t="s">
        <v>48</v>
      </c>
      <c r="R8" s="1">
        <v>27</v>
      </c>
    </row>
    <row r="9" spans="2:18" x14ac:dyDescent="0.3">
      <c r="B9" s="3" t="s">
        <v>69</v>
      </c>
      <c r="Q9" s="1" t="s">
        <v>86</v>
      </c>
      <c r="R9" s="1">
        <f>SQRT(R8)</f>
        <v>5.196152422706632</v>
      </c>
    </row>
    <row r="10" spans="2:18" x14ac:dyDescent="0.3">
      <c r="B10" s="3" t="s">
        <v>63</v>
      </c>
      <c r="Q10" s="1" t="s">
        <v>85</v>
      </c>
      <c r="R10" s="1">
        <f>$R$7-4*$R$9</f>
        <v>154.21539030917347</v>
      </c>
    </row>
    <row r="11" spans="2:18" x14ac:dyDescent="0.3">
      <c r="B11" s="3" t="s">
        <v>58</v>
      </c>
      <c r="Q11" s="1" t="s">
        <v>84</v>
      </c>
      <c r="R11" s="1">
        <f>$R$7+4*$R$9</f>
        <v>195.78460969082653</v>
      </c>
    </row>
    <row r="14" spans="2:18" x14ac:dyDescent="0.3">
      <c r="B14" s="1" t="s">
        <v>49</v>
      </c>
      <c r="C14" s="1">
        <v>175</v>
      </c>
    </row>
    <row r="15" spans="2:18" x14ac:dyDescent="0.3">
      <c r="B15" s="1" t="s">
        <v>48</v>
      </c>
      <c r="C15" s="1">
        <v>27</v>
      </c>
      <c r="Q15" s="1" t="s">
        <v>83</v>
      </c>
      <c r="R15" s="1" t="s">
        <v>82</v>
      </c>
    </row>
    <row r="16" spans="2:18" x14ac:dyDescent="0.3">
      <c r="Q16" s="1">
        <v>155</v>
      </c>
      <c r="R16" s="1">
        <f t="shared" ref="R16:R56" si="0">_xlfn.NORM.DIST(Q16,$R$7,$R$9,FALSE)</f>
        <v>4.658348989938462E-5</v>
      </c>
    </row>
    <row r="17" spans="2:18" x14ac:dyDescent="0.3">
      <c r="B17" s="3" t="s">
        <v>81</v>
      </c>
      <c r="Q17" s="1">
        <f t="shared" ref="Q17:Q56" si="1">Q16+1</f>
        <v>156</v>
      </c>
      <c r="R17" s="1">
        <f t="shared" si="0"/>
        <v>9.5915577792160924E-5</v>
      </c>
    </row>
    <row r="18" spans="2:18" x14ac:dyDescent="0.3">
      <c r="Q18" s="1">
        <f t="shared" si="1"/>
        <v>157</v>
      </c>
      <c r="R18" s="1">
        <f t="shared" si="0"/>
        <v>1.9030986111723684E-4</v>
      </c>
    </row>
    <row r="19" spans="2:18" x14ac:dyDescent="0.3">
      <c r="B19" s="1" t="s">
        <v>80</v>
      </c>
      <c r="Q19" s="1">
        <f t="shared" si="1"/>
        <v>158</v>
      </c>
      <c r="R19" s="1">
        <f t="shared" si="0"/>
        <v>3.6387184807010756E-4</v>
      </c>
    </row>
    <row r="20" spans="2:18" x14ac:dyDescent="0.3">
      <c r="B20" s="1" t="s">
        <v>79</v>
      </c>
      <c r="C20" s="1">
        <v>180</v>
      </c>
      <c r="E20" s="1" t="s">
        <v>78</v>
      </c>
      <c r="F20" s="1">
        <f>1-_xlfn.NORM.DIST(C20,$C$14,C15^0.5,TRUE)</f>
        <v>0.16796190657586785</v>
      </c>
      <c r="Q20" s="1">
        <f t="shared" si="1"/>
        <v>159</v>
      </c>
      <c r="R20" s="1">
        <f t="shared" si="0"/>
        <v>6.7042567805120578E-4</v>
      </c>
    </row>
    <row r="21" spans="2:18" x14ac:dyDescent="0.3">
      <c r="B21" s="1" t="s">
        <v>77</v>
      </c>
      <c r="C21" s="1">
        <f>(C20-C14)/C15^0.5</f>
        <v>0.96225044864937626</v>
      </c>
      <c r="E21" s="1" t="s">
        <v>76</v>
      </c>
      <c r="F21" s="1">
        <f>1-_xlfn.NORM.S.DIST(C21,TRUE)</f>
        <v>0.16796190657586785</v>
      </c>
      <c r="Q21" s="1">
        <f t="shared" si="1"/>
        <v>160</v>
      </c>
      <c r="R21" s="1">
        <f t="shared" si="0"/>
        <v>1.1903312694928514E-3</v>
      </c>
    </row>
    <row r="22" spans="2:18" x14ac:dyDescent="0.3">
      <c r="Q22" s="1">
        <f t="shared" si="1"/>
        <v>161</v>
      </c>
      <c r="R22" s="1">
        <f t="shared" si="0"/>
        <v>2.0365733866798538E-3</v>
      </c>
    </row>
    <row r="23" spans="2:18" x14ac:dyDescent="0.3">
      <c r="B23" s="3" t="s">
        <v>75</v>
      </c>
      <c r="Q23" s="1">
        <f t="shared" si="1"/>
        <v>162</v>
      </c>
      <c r="R23" s="1">
        <f t="shared" si="0"/>
        <v>3.3577418619608703E-3</v>
      </c>
    </row>
    <row r="24" spans="2:18" x14ac:dyDescent="0.3">
      <c r="Q24" s="1">
        <f t="shared" si="1"/>
        <v>163</v>
      </c>
      <c r="R24" s="1">
        <f t="shared" si="0"/>
        <v>5.3346946405677439E-3</v>
      </c>
    </row>
    <row r="25" spans="2:18" x14ac:dyDescent="0.3">
      <c r="B25" s="1" t="s">
        <v>74</v>
      </c>
      <c r="Q25" s="1">
        <f t="shared" si="1"/>
        <v>164</v>
      </c>
      <c r="R25" s="1">
        <f t="shared" si="0"/>
        <v>8.167456773959348E-3</v>
      </c>
    </row>
    <row r="26" spans="2:18" x14ac:dyDescent="0.3">
      <c r="B26" s="1" t="s">
        <v>73</v>
      </c>
      <c r="C26" s="1">
        <v>177</v>
      </c>
      <c r="E26" s="1" t="s">
        <v>72</v>
      </c>
      <c r="F26" s="1">
        <f>1-_xlfn.NORM.DIST(C26,$C$14,$C$15^0.5,TRUE)</f>
        <v>0.35015568646844508</v>
      </c>
      <c r="Q26" s="1">
        <f t="shared" si="1"/>
        <v>165</v>
      </c>
      <c r="R26" s="1">
        <f t="shared" si="0"/>
        <v>1.2049780703886239E-2</v>
      </c>
    </row>
    <row r="27" spans="2:18" x14ac:dyDescent="0.3">
      <c r="B27" s="1" t="s">
        <v>71</v>
      </c>
      <c r="C27" s="1">
        <f>(C26-$C$14)/$C$15^0.5</f>
        <v>0.38490017945975052</v>
      </c>
      <c r="E27" s="1" t="s">
        <v>70</v>
      </c>
      <c r="F27" s="1">
        <f>1-_xlfn.NORM.S.DIST(C27,TRUE)</f>
        <v>0.35015568646844508</v>
      </c>
      <c r="Q27" s="1">
        <f t="shared" si="1"/>
        <v>166</v>
      </c>
      <c r="R27" s="1">
        <f t="shared" si="0"/>
        <v>1.7131147755974369E-2</v>
      </c>
    </row>
    <row r="28" spans="2:18" x14ac:dyDescent="0.3">
      <c r="Q28" s="1">
        <f t="shared" si="1"/>
        <v>167</v>
      </c>
      <c r="R28" s="1">
        <f t="shared" si="0"/>
        <v>2.3469768064202999E-2</v>
      </c>
    </row>
    <row r="29" spans="2:18" x14ac:dyDescent="0.3">
      <c r="Q29" s="1">
        <f t="shared" si="1"/>
        <v>168</v>
      </c>
      <c r="R29" s="1">
        <f t="shared" si="0"/>
        <v>3.0984618544582225E-2</v>
      </c>
    </row>
    <row r="30" spans="2:18" x14ac:dyDescent="0.3">
      <c r="B30" s="3" t="s">
        <v>69</v>
      </c>
      <c r="Q30" s="1">
        <f t="shared" si="1"/>
        <v>169</v>
      </c>
      <c r="R30" s="1">
        <f t="shared" si="0"/>
        <v>3.9418357969819733E-2</v>
      </c>
    </row>
    <row r="31" spans="2:18" x14ac:dyDescent="0.3">
      <c r="Q31" s="1">
        <f t="shared" si="1"/>
        <v>170</v>
      </c>
      <c r="R31" s="1">
        <f t="shared" si="0"/>
        <v>4.8324339146513247E-2</v>
      </c>
    </row>
    <row r="32" spans="2:18" x14ac:dyDescent="0.3">
      <c r="B32" s="1" t="s">
        <v>68</v>
      </c>
      <c r="Q32" s="1">
        <f t="shared" si="1"/>
        <v>171</v>
      </c>
      <c r="R32" s="1">
        <f t="shared" si="0"/>
        <v>5.7088461245584386E-2</v>
      </c>
    </row>
    <row r="33" spans="2:18" x14ac:dyDescent="0.3">
      <c r="Q33" s="1">
        <f t="shared" si="1"/>
        <v>172</v>
      </c>
      <c r="R33" s="1">
        <f t="shared" si="0"/>
        <v>6.4989885240913717E-2</v>
      </c>
    </row>
    <row r="34" spans="2:18" x14ac:dyDescent="0.3">
      <c r="B34" s="1" t="s">
        <v>67</v>
      </c>
      <c r="C34" s="1">
        <v>163</v>
      </c>
      <c r="E34" s="1" t="s">
        <v>66</v>
      </c>
      <c r="F34" s="1">
        <f>1-_xlfn.NORM.DIST(C34,$C$14,$C$15^0.5,TRUE)</f>
        <v>0.98953933233110303</v>
      </c>
      <c r="Q34" s="1">
        <f t="shared" si="1"/>
        <v>173</v>
      </c>
      <c r="R34" s="1">
        <f t="shared" si="0"/>
        <v>7.1294860259594431E-2</v>
      </c>
    </row>
    <row r="35" spans="2:18" x14ac:dyDescent="0.3">
      <c r="B35" s="1" t="s">
        <v>65</v>
      </c>
      <c r="C35" s="1">
        <f>(C34-$C$14)/$C$15^0.5</f>
        <v>-2.3094010767585029</v>
      </c>
      <c r="E35" s="1" t="s">
        <v>64</v>
      </c>
      <c r="F35" s="1">
        <f>1-_xlfn.NORM.S.DIST(C35,TRUE)</f>
        <v>0.98953933233110303</v>
      </c>
      <c r="Q35" s="1">
        <f t="shared" si="1"/>
        <v>174</v>
      </c>
      <c r="R35" s="1">
        <f t="shared" si="0"/>
        <v>7.5367774839221274E-2</v>
      </c>
    </row>
    <row r="36" spans="2:18" x14ac:dyDescent="0.3">
      <c r="Q36" s="1">
        <f t="shared" si="1"/>
        <v>175</v>
      </c>
      <c r="R36" s="1">
        <f t="shared" si="0"/>
        <v>7.6776477660296785E-2</v>
      </c>
    </row>
    <row r="37" spans="2:18" x14ac:dyDescent="0.3">
      <c r="Q37" s="1">
        <f t="shared" si="1"/>
        <v>176</v>
      </c>
      <c r="R37" s="1">
        <f t="shared" si="0"/>
        <v>7.5367774839221274E-2</v>
      </c>
    </row>
    <row r="38" spans="2:18" x14ac:dyDescent="0.3">
      <c r="B38" s="3" t="s">
        <v>63</v>
      </c>
      <c r="Q38" s="1">
        <f t="shared" si="1"/>
        <v>177</v>
      </c>
      <c r="R38" s="1">
        <f t="shared" si="0"/>
        <v>7.1294860259594431E-2</v>
      </c>
    </row>
    <row r="39" spans="2:18" x14ac:dyDescent="0.3">
      <c r="Q39" s="1">
        <f t="shared" si="1"/>
        <v>178</v>
      </c>
      <c r="R39" s="1">
        <f t="shared" si="0"/>
        <v>6.4989885240913717E-2</v>
      </c>
    </row>
    <row r="40" spans="2:18" x14ac:dyDescent="0.3">
      <c r="B40" s="1" t="s">
        <v>62</v>
      </c>
      <c r="C40" s="1">
        <v>169</v>
      </c>
      <c r="E40" s="1" t="s">
        <v>61</v>
      </c>
      <c r="F40" s="1">
        <f>_xlfn.NORM.DIST(C40,$C$14,$C$15^0.5,TRUE)</f>
        <v>0.12410653949496178</v>
      </c>
      <c r="Q40" s="1">
        <f t="shared" si="1"/>
        <v>179</v>
      </c>
      <c r="R40" s="1">
        <f t="shared" si="0"/>
        <v>5.7088461245584386E-2</v>
      </c>
    </row>
    <row r="41" spans="2:18" x14ac:dyDescent="0.3">
      <c r="B41" s="1" t="s">
        <v>60</v>
      </c>
      <c r="C41" s="1">
        <f>(C40-$C$14)/$C$15^0.5</f>
        <v>-1.1547005383792515</v>
      </c>
      <c r="E41" s="1" t="s">
        <v>59</v>
      </c>
      <c r="F41" s="1">
        <f>_xlfn.NORM.S.DIST(C41,TRUE)</f>
        <v>0.12410653949496178</v>
      </c>
      <c r="Q41" s="1">
        <f t="shared" si="1"/>
        <v>180</v>
      </c>
      <c r="R41" s="1">
        <f t="shared" si="0"/>
        <v>4.8324339146513247E-2</v>
      </c>
    </row>
    <row r="42" spans="2:18" x14ac:dyDescent="0.3">
      <c r="Q42" s="1">
        <f t="shared" si="1"/>
        <v>181</v>
      </c>
      <c r="R42" s="1">
        <f t="shared" si="0"/>
        <v>3.9418357969819733E-2</v>
      </c>
    </row>
    <row r="43" spans="2:18" x14ac:dyDescent="0.3">
      <c r="Q43" s="1">
        <f t="shared" si="1"/>
        <v>182</v>
      </c>
      <c r="R43" s="1">
        <f t="shared" si="0"/>
        <v>3.0984618544582225E-2</v>
      </c>
    </row>
    <row r="44" spans="2:18" x14ac:dyDescent="0.3">
      <c r="B44" s="3" t="s">
        <v>58</v>
      </c>
      <c r="Q44" s="1">
        <f t="shared" si="1"/>
        <v>183</v>
      </c>
      <c r="R44" s="1">
        <f t="shared" si="0"/>
        <v>2.3469768064202999E-2</v>
      </c>
    </row>
    <row r="45" spans="2:18" x14ac:dyDescent="0.3">
      <c r="Q45" s="1">
        <f t="shared" si="1"/>
        <v>184</v>
      </c>
      <c r="R45" s="1">
        <f t="shared" si="0"/>
        <v>1.7131147755974369E-2</v>
      </c>
    </row>
    <row r="46" spans="2:18" x14ac:dyDescent="0.3">
      <c r="B46" s="1" t="s">
        <v>57</v>
      </c>
      <c r="C46" s="1">
        <v>165</v>
      </c>
      <c r="E46" s="1" t="s">
        <v>56</v>
      </c>
      <c r="F46" s="1">
        <f>_xlfn.NORM.DIST(C49,$C$14,$C$15^0.5,TRUE)-_xlfn.NORM.DIST(C46,$C$14,$C$15^0.5,TRUE)</f>
        <v>0.25470551664195917</v>
      </c>
      <c r="Q46" s="1">
        <f t="shared" si="1"/>
        <v>185</v>
      </c>
      <c r="R46" s="1">
        <f t="shared" si="0"/>
        <v>1.2049780703886239E-2</v>
      </c>
    </row>
    <row r="47" spans="2:18" x14ac:dyDescent="0.3">
      <c r="B47" s="1" t="s">
        <v>55</v>
      </c>
      <c r="C47" s="1">
        <f>(C46-$C$14)/$C$15^0.5</f>
        <v>-1.9245008972987525</v>
      </c>
      <c r="Q47" s="1">
        <f t="shared" si="1"/>
        <v>186</v>
      </c>
      <c r="R47" s="1">
        <f t="shared" si="0"/>
        <v>8.167456773959348E-3</v>
      </c>
    </row>
    <row r="48" spans="2:18" x14ac:dyDescent="0.3">
      <c r="E48" s="1" t="s">
        <v>54</v>
      </c>
      <c r="F48" s="1">
        <f>_xlfn.NORM.S.DIST(C50,TRUE)-_xlfn.NORM.S.DIST(C47,TRUE)</f>
        <v>0.25470551664195917</v>
      </c>
      <c r="Q48" s="1">
        <f t="shared" si="1"/>
        <v>187</v>
      </c>
      <c r="R48" s="1">
        <f t="shared" si="0"/>
        <v>5.3346946405677439E-3</v>
      </c>
    </row>
    <row r="49" spans="2:18" x14ac:dyDescent="0.3">
      <c r="B49" s="1" t="s">
        <v>53</v>
      </c>
      <c r="C49" s="1">
        <v>172</v>
      </c>
      <c r="Q49" s="1">
        <f t="shared" si="1"/>
        <v>188</v>
      </c>
      <c r="R49" s="1">
        <f t="shared" si="0"/>
        <v>3.3577418619608703E-3</v>
      </c>
    </row>
    <row r="50" spans="2:18" x14ac:dyDescent="0.3">
      <c r="B50" s="1" t="s">
        <v>52</v>
      </c>
      <c r="C50" s="1">
        <f>(C49-$C$14)/$C$15^0.5</f>
        <v>-0.57735026918962573</v>
      </c>
      <c r="Q50" s="1">
        <f t="shared" si="1"/>
        <v>189</v>
      </c>
      <c r="R50" s="1">
        <f t="shared" si="0"/>
        <v>2.0365733866798538E-3</v>
      </c>
    </row>
    <row r="51" spans="2:18" x14ac:dyDescent="0.3">
      <c r="Q51" s="1">
        <f t="shared" si="1"/>
        <v>190</v>
      </c>
      <c r="R51" s="1">
        <f t="shared" si="0"/>
        <v>1.1903312694928514E-3</v>
      </c>
    </row>
    <row r="52" spans="2:18" x14ac:dyDescent="0.3">
      <c r="Q52" s="1">
        <f t="shared" si="1"/>
        <v>191</v>
      </c>
      <c r="R52" s="1">
        <f t="shared" si="0"/>
        <v>6.7042567805120578E-4</v>
      </c>
    </row>
    <row r="53" spans="2:18" x14ac:dyDescent="0.3">
      <c r="Q53" s="1">
        <f t="shared" si="1"/>
        <v>192</v>
      </c>
      <c r="R53" s="1">
        <f t="shared" si="0"/>
        <v>3.6387184807010756E-4</v>
      </c>
    </row>
    <row r="54" spans="2:18" x14ac:dyDescent="0.3">
      <c r="Q54" s="1">
        <f t="shared" si="1"/>
        <v>193</v>
      </c>
      <c r="R54" s="1">
        <f t="shared" si="0"/>
        <v>1.9030986111723684E-4</v>
      </c>
    </row>
    <row r="55" spans="2:18" x14ac:dyDescent="0.3">
      <c r="Q55" s="1">
        <f t="shared" si="1"/>
        <v>194</v>
      </c>
      <c r="R55" s="1">
        <f t="shared" si="0"/>
        <v>9.5915577792160924E-5</v>
      </c>
    </row>
    <row r="56" spans="2:18" x14ac:dyDescent="0.3">
      <c r="Q56" s="1">
        <f t="shared" si="1"/>
        <v>195</v>
      </c>
      <c r="R56" s="1">
        <f t="shared" si="0"/>
        <v>4.658348989938462E-5</v>
      </c>
    </row>
    <row r="61" spans="2:18" x14ac:dyDescent="0.3">
      <c r="B61" s="4" t="s">
        <v>51</v>
      </c>
    </row>
    <row r="62" spans="2:18" x14ac:dyDescent="0.3">
      <c r="B62" s="4"/>
    </row>
    <row r="63" spans="2:18" x14ac:dyDescent="0.3">
      <c r="B63" s="4" t="s">
        <v>50</v>
      </c>
    </row>
    <row r="64" spans="2:18" x14ac:dyDescent="0.3">
      <c r="B64" s="3" t="s">
        <v>46</v>
      </c>
    </row>
    <row r="65" spans="2:3" x14ac:dyDescent="0.3">
      <c r="B65" s="3" t="s">
        <v>43</v>
      </c>
    </row>
    <row r="66" spans="2:3" x14ac:dyDescent="0.3">
      <c r="B66" s="3" t="s">
        <v>40</v>
      </c>
    </row>
    <row r="69" spans="2:3" x14ac:dyDescent="0.3">
      <c r="B69" s="1" t="s">
        <v>49</v>
      </c>
      <c r="C69" s="1">
        <v>175</v>
      </c>
    </row>
    <row r="70" spans="2:3" x14ac:dyDescent="0.3">
      <c r="B70" s="1" t="s">
        <v>48</v>
      </c>
      <c r="C70" s="1">
        <v>27</v>
      </c>
    </row>
    <row r="71" spans="2:3" x14ac:dyDescent="0.3">
      <c r="B71" s="1" t="s">
        <v>47</v>
      </c>
      <c r="C71" s="1">
        <f>C70^0.5</f>
        <v>5.196152422706632</v>
      </c>
    </row>
    <row r="74" spans="2:3" x14ac:dyDescent="0.3">
      <c r="B74" s="3" t="s">
        <v>46</v>
      </c>
    </row>
    <row r="76" spans="2:3" x14ac:dyDescent="0.3">
      <c r="B76" s="1" t="s">
        <v>45</v>
      </c>
      <c r="C76" s="1">
        <f>_xlfn.NORM.S.INV(0.75)</f>
        <v>0.67448975019608193</v>
      </c>
    </row>
    <row r="77" spans="2:3" x14ac:dyDescent="0.3">
      <c r="B77" s="1" t="s">
        <v>44</v>
      </c>
      <c r="C77" s="1">
        <f>C69+C76*C71</f>
        <v>178.50475154957215</v>
      </c>
    </row>
    <row r="78" spans="2:3" x14ac:dyDescent="0.3">
      <c r="C78" s="1">
        <f>_xlfn.NORM.INV(0.75,C69,C71)</f>
        <v>178.50475154957215</v>
      </c>
    </row>
    <row r="85" spans="2:4" x14ac:dyDescent="0.3">
      <c r="B85" s="3" t="s">
        <v>43</v>
      </c>
    </row>
    <row r="87" spans="2:4" x14ac:dyDescent="0.3">
      <c r="B87" s="1" t="s">
        <v>42</v>
      </c>
      <c r="C87" s="1">
        <f>_xlfn.NORM.S.INV(0.1)</f>
        <v>-1.2815515655446006</v>
      </c>
    </row>
    <row r="88" spans="2:4" x14ac:dyDescent="0.3">
      <c r="B88" s="1" t="s">
        <v>41</v>
      </c>
      <c r="C88" s="1">
        <f>C69+C87*C71</f>
        <v>168.34086272787195</v>
      </c>
    </row>
    <row r="89" spans="2:4" x14ac:dyDescent="0.3">
      <c r="C89" s="1">
        <f>_xlfn.NORM.INV(0.1,C69,C71)</f>
        <v>168.34086272787195</v>
      </c>
    </row>
    <row r="91" spans="2:4" x14ac:dyDescent="0.3">
      <c r="B91" s="3" t="s">
        <v>40</v>
      </c>
    </row>
    <row r="93" spans="2:4" x14ac:dyDescent="0.3">
      <c r="B93" s="1" t="s">
        <v>39</v>
      </c>
      <c r="C93" s="1">
        <f>_xlfn.NORM.S.INV(0.95)</f>
        <v>1.6448536269514715</v>
      </c>
    </row>
    <row r="94" spans="2:4" x14ac:dyDescent="0.3">
      <c r="B94" s="1" t="s">
        <v>38</v>
      </c>
      <c r="C94" s="1">
        <f>$C$69-$C$93*$C$71</f>
        <v>166.45308984131833</v>
      </c>
      <c r="D94" s="1">
        <f>_xlfn.NORM.INV(0.05,$C$69,$C$71)</f>
        <v>166.4530898413183</v>
      </c>
    </row>
    <row r="95" spans="2:4" x14ac:dyDescent="0.3">
      <c r="B95" s="1" t="s">
        <v>37</v>
      </c>
      <c r="C95" s="1">
        <f>$C$69+$C$93*$C$71</f>
        <v>183.54691015868167</v>
      </c>
      <c r="D95" s="1">
        <f>_xlfn.NORM.INV(0.95,$C$69,$C$71)</f>
        <v>183.54691015868167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8B9E5-1E37-EB4C-BB7A-30ABC42FAF6B}">
  <dimension ref="C1:F86"/>
  <sheetViews>
    <sheetView workbookViewId="0">
      <selection activeCell="D3" sqref="D3"/>
    </sheetView>
  </sheetViews>
  <sheetFormatPr baseColWidth="10" defaultRowHeight="16" x14ac:dyDescent="0.2"/>
  <cols>
    <col min="4" max="6" width="12.1640625" bestFit="1" customWidth="1"/>
  </cols>
  <sheetData>
    <row r="1" spans="3:6" x14ac:dyDescent="0.2">
      <c r="D1" t="s">
        <v>91</v>
      </c>
      <c r="E1" t="s">
        <v>90</v>
      </c>
    </row>
    <row r="2" spans="3:6" x14ac:dyDescent="0.2">
      <c r="C2" t="s">
        <v>18</v>
      </c>
      <c r="D2" t="s">
        <v>89</v>
      </c>
      <c r="E2" t="s">
        <v>88</v>
      </c>
      <c r="F2" t="s">
        <v>88</v>
      </c>
    </row>
    <row r="3" spans="3:6" x14ac:dyDescent="0.2">
      <c r="C3">
        <v>-4</v>
      </c>
      <c r="D3">
        <f t="shared" ref="D3:D34" si="0">_xlfn.NORM.S.DIST(C3,FALSE)</f>
        <v>1.3383022576488537E-4</v>
      </c>
      <c r="E3">
        <f t="shared" ref="E3:E34" si="1">_xlfn.NORM.S.DIST(C3,TRUE)</f>
        <v>3.1671241833119857E-5</v>
      </c>
      <c r="F3">
        <f>NORMSDIST(C3)</f>
        <v>3.1671241833119857E-5</v>
      </c>
    </row>
    <row r="4" spans="3:6" x14ac:dyDescent="0.2">
      <c r="C4">
        <v>-3.9</v>
      </c>
      <c r="D4">
        <f t="shared" si="0"/>
        <v>1.9865547139277272E-4</v>
      </c>
      <c r="E4">
        <f t="shared" si="1"/>
        <v>4.8096344017602614E-5</v>
      </c>
    </row>
    <row r="5" spans="3:6" x14ac:dyDescent="0.2">
      <c r="C5">
        <v>-3.8</v>
      </c>
      <c r="D5">
        <f t="shared" si="0"/>
        <v>2.9194692579146027E-4</v>
      </c>
      <c r="E5">
        <f t="shared" si="1"/>
        <v>7.234804392511999E-5</v>
      </c>
    </row>
    <row r="6" spans="3:6" x14ac:dyDescent="0.2">
      <c r="C6">
        <v>-3.7</v>
      </c>
      <c r="D6">
        <f t="shared" si="0"/>
        <v>4.2478027055075143E-4</v>
      </c>
      <c r="E6">
        <f t="shared" si="1"/>
        <v>1.0779973347738824E-4</v>
      </c>
    </row>
    <row r="7" spans="3:6" x14ac:dyDescent="0.2">
      <c r="C7">
        <v>-3.6</v>
      </c>
      <c r="D7">
        <f t="shared" si="0"/>
        <v>6.119019301137719E-4</v>
      </c>
      <c r="E7">
        <f t="shared" si="1"/>
        <v>1.5910859015753364E-4</v>
      </c>
    </row>
    <row r="8" spans="3:6" x14ac:dyDescent="0.2">
      <c r="C8">
        <v>-3.5</v>
      </c>
      <c r="D8">
        <f t="shared" si="0"/>
        <v>8.7268269504576015E-4</v>
      </c>
      <c r="E8">
        <f t="shared" si="1"/>
        <v>2.3262907903552504E-4</v>
      </c>
    </row>
    <row r="9" spans="3:6" x14ac:dyDescent="0.2">
      <c r="C9">
        <v>-3.4</v>
      </c>
      <c r="D9">
        <f t="shared" si="0"/>
        <v>1.2322191684730199E-3</v>
      </c>
      <c r="E9">
        <f t="shared" si="1"/>
        <v>3.369292656768808E-4</v>
      </c>
    </row>
    <row r="10" spans="3:6" x14ac:dyDescent="0.2">
      <c r="C10">
        <v>-3.3</v>
      </c>
      <c r="D10">
        <f t="shared" si="0"/>
        <v>1.7225689390536812E-3</v>
      </c>
      <c r="E10">
        <f t="shared" si="1"/>
        <v>4.8342414238377744E-4</v>
      </c>
    </row>
    <row r="11" spans="3:6" x14ac:dyDescent="0.2">
      <c r="C11">
        <v>-3.2</v>
      </c>
      <c r="D11">
        <f t="shared" si="0"/>
        <v>2.3840882014648404E-3</v>
      </c>
      <c r="E11">
        <f t="shared" si="1"/>
        <v>6.8713793791584719E-4</v>
      </c>
    </row>
    <row r="12" spans="3:6" x14ac:dyDescent="0.2">
      <c r="C12">
        <v>-3.1</v>
      </c>
      <c r="D12">
        <f t="shared" si="0"/>
        <v>3.2668190561999182E-3</v>
      </c>
      <c r="E12">
        <f t="shared" si="1"/>
        <v>9.676032132183561E-4</v>
      </c>
    </row>
    <row r="13" spans="3:6" x14ac:dyDescent="0.2">
      <c r="C13">
        <v>-3</v>
      </c>
      <c r="D13">
        <f t="shared" si="0"/>
        <v>4.4318484119380075E-3</v>
      </c>
      <c r="E13">
        <f t="shared" si="1"/>
        <v>1.3498980316300933E-3</v>
      </c>
    </row>
    <row r="14" spans="3:6" x14ac:dyDescent="0.2">
      <c r="C14">
        <v>-2.9</v>
      </c>
      <c r="D14">
        <f t="shared" si="0"/>
        <v>5.9525324197758538E-3</v>
      </c>
      <c r="E14">
        <f t="shared" si="1"/>
        <v>1.8658133003840378E-3</v>
      </c>
    </row>
    <row r="15" spans="3:6" x14ac:dyDescent="0.2">
      <c r="C15">
        <v>-2.8</v>
      </c>
      <c r="D15">
        <f t="shared" si="0"/>
        <v>7.9154515829799686E-3</v>
      </c>
      <c r="E15">
        <f t="shared" si="1"/>
        <v>2.5551303304279312E-3</v>
      </c>
    </row>
    <row r="16" spans="3:6" x14ac:dyDescent="0.2">
      <c r="C16">
        <v>-2.7</v>
      </c>
      <c r="D16">
        <f t="shared" si="0"/>
        <v>1.0420934814422592E-2</v>
      </c>
      <c r="E16">
        <f t="shared" si="1"/>
        <v>3.4669738030406643E-3</v>
      </c>
    </row>
    <row r="17" spans="3:5" x14ac:dyDescent="0.2">
      <c r="C17">
        <v>-2.6</v>
      </c>
      <c r="D17">
        <f t="shared" si="0"/>
        <v>1.3582969233685613E-2</v>
      </c>
      <c r="E17">
        <f t="shared" si="1"/>
        <v>4.6611880237187476E-3</v>
      </c>
    </row>
    <row r="18" spans="3:5" x14ac:dyDescent="0.2">
      <c r="C18">
        <v>-2.5</v>
      </c>
      <c r="D18">
        <f t="shared" si="0"/>
        <v>1.752830049356854E-2</v>
      </c>
      <c r="E18">
        <f t="shared" si="1"/>
        <v>6.2096653257761331E-3</v>
      </c>
    </row>
    <row r="19" spans="3:5" x14ac:dyDescent="0.2">
      <c r="C19">
        <v>-2.4</v>
      </c>
      <c r="D19">
        <f t="shared" si="0"/>
        <v>2.2394530294842899E-2</v>
      </c>
      <c r="E19">
        <f t="shared" si="1"/>
        <v>8.1975359245961311E-3</v>
      </c>
    </row>
    <row r="20" spans="3:5" x14ac:dyDescent="0.2">
      <c r="C20">
        <v>-2.2999999999999998</v>
      </c>
      <c r="D20">
        <f t="shared" si="0"/>
        <v>2.8327037741601186E-2</v>
      </c>
      <c r="E20">
        <f t="shared" si="1"/>
        <v>1.0724110021675811E-2</v>
      </c>
    </row>
    <row r="21" spans="3:5" x14ac:dyDescent="0.2">
      <c r="C21">
        <v>-2.2000000000000002</v>
      </c>
      <c r="D21">
        <f t="shared" si="0"/>
        <v>3.5474592846231424E-2</v>
      </c>
      <c r="E21">
        <f t="shared" si="1"/>
        <v>1.3903447513498597E-2</v>
      </c>
    </row>
    <row r="22" spans="3:5" x14ac:dyDescent="0.2">
      <c r="C22">
        <v>-2.1</v>
      </c>
      <c r="D22">
        <f t="shared" si="0"/>
        <v>4.3983595980427191E-2</v>
      </c>
      <c r="E22">
        <f t="shared" si="1"/>
        <v>1.7864420562816546E-2</v>
      </c>
    </row>
    <row r="23" spans="3:5" x14ac:dyDescent="0.2">
      <c r="C23">
        <v>-2</v>
      </c>
      <c r="D23">
        <f t="shared" si="0"/>
        <v>5.3990966513188063E-2</v>
      </c>
      <c r="E23">
        <f t="shared" si="1"/>
        <v>2.2750131948179191E-2</v>
      </c>
    </row>
    <row r="24" spans="3:5" x14ac:dyDescent="0.2">
      <c r="C24">
        <v>-1.9</v>
      </c>
      <c r="D24">
        <f t="shared" si="0"/>
        <v>6.5615814774676595E-2</v>
      </c>
      <c r="E24">
        <f t="shared" si="1"/>
        <v>2.87165598160018E-2</v>
      </c>
    </row>
    <row r="25" spans="3:5" x14ac:dyDescent="0.2">
      <c r="C25">
        <v>-1.8</v>
      </c>
      <c r="D25">
        <f t="shared" si="0"/>
        <v>7.8950158300894149E-2</v>
      </c>
      <c r="E25">
        <f t="shared" si="1"/>
        <v>3.5930319112925789E-2</v>
      </c>
    </row>
    <row r="26" spans="3:5" x14ac:dyDescent="0.2">
      <c r="C26">
        <v>-1.7</v>
      </c>
      <c r="D26">
        <f t="shared" si="0"/>
        <v>9.4049077376886947E-2</v>
      </c>
      <c r="E26">
        <f t="shared" si="1"/>
        <v>4.4565462758543041E-2</v>
      </c>
    </row>
    <row r="27" spans="3:5" x14ac:dyDescent="0.2">
      <c r="C27">
        <v>-1.6</v>
      </c>
      <c r="D27">
        <f t="shared" si="0"/>
        <v>0.11092083467945554</v>
      </c>
      <c r="E27">
        <f t="shared" si="1"/>
        <v>5.4799291699557967E-2</v>
      </c>
    </row>
    <row r="28" spans="3:5" x14ac:dyDescent="0.2">
      <c r="C28">
        <v>-1.5</v>
      </c>
      <c r="D28">
        <f t="shared" si="0"/>
        <v>0.12951759566589174</v>
      </c>
      <c r="E28">
        <f t="shared" si="1"/>
        <v>6.6807201268858057E-2</v>
      </c>
    </row>
    <row r="29" spans="3:5" x14ac:dyDescent="0.2">
      <c r="C29">
        <v>-1.4</v>
      </c>
      <c r="D29">
        <f t="shared" si="0"/>
        <v>0.14972746563574488</v>
      </c>
      <c r="E29">
        <f t="shared" si="1"/>
        <v>8.0756659233771053E-2</v>
      </c>
    </row>
    <row r="30" spans="3:5" x14ac:dyDescent="0.2">
      <c r="C30">
        <v>-1.3</v>
      </c>
      <c r="D30">
        <f t="shared" si="0"/>
        <v>0.17136859204780736</v>
      </c>
      <c r="E30">
        <f t="shared" si="1"/>
        <v>9.6800484585610316E-2</v>
      </c>
    </row>
    <row r="31" spans="3:5" x14ac:dyDescent="0.2">
      <c r="C31">
        <v>-1.2</v>
      </c>
      <c r="D31">
        <f t="shared" si="0"/>
        <v>0.19418605498321295</v>
      </c>
      <c r="E31">
        <f t="shared" si="1"/>
        <v>0.11506967022170828</v>
      </c>
    </row>
    <row r="32" spans="3:5" x14ac:dyDescent="0.2">
      <c r="C32">
        <v>-1.1000000000000001</v>
      </c>
      <c r="D32">
        <f t="shared" si="0"/>
        <v>0.21785217703255053</v>
      </c>
      <c r="E32">
        <f t="shared" si="1"/>
        <v>0.13566606094638264</v>
      </c>
    </row>
    <row r="33" spans="3:5" x14ac:dyDescent="0.2">
      <c r="C33">
        <v>-1</v>
      </c>
      <c r="D33">
        <f t="shared" si="0"/>
        <v>0.24197072451914337</v>
      </c>
      <c r="E33">
        <f t="shared" si="1"/>
        <v>0.15865525393145699</v>
      </c>
    </row>
    <row r="34" spans="3:5" x14ac:dyDescent="0.2">
      <c r="C34">
        <v>-0.9</v>
      </c>
      <c r="D34">
        <f t="shared" si="0"/>
        <v>0.26608524989875482</v>
      </c>
      <c r="E34">
        <f t="shared" si="1"/>
        <v>0.1840601253467595</v>
      </c>
    </row>
    <row r="35" spans="3:5" x14ac:dyDescent="0.2">
      <c r="C35">
        <v>-0.8</v>
      </c>
      <c r="D35">
        <f t="shared" ref="D35:D66" si="2">_xlfn.NORM.S.DIST(C35,FALSE)</f>
        <v>0.28969155276148273</v>
      </c>
      <c r="E35">
        <f t="shared" ref="E35:E66" si="3">_xlfn.NORM.S.DIST(C35,TRUE)</f>
        <v>0.21185539858339661</v>
      </c>
    </row>
    <row r="36" spans="3:5" x14ac:dyDescent="0.2">
      <c r="C36">
        <v>-0.7</v>
      </c>
      <c r="D36">
        <f t="shared" si="2"/>
        <v>0.31225393336676127</v>
      </c>
      <c r="E36">
        <f t="shared" si="3"/>
        <v>0.24196365222307298</v>
      </c>
    </row>
    <row r="37" spans="3:5" x14ac:dyDescent="0.2">
      <c r="C37">
        <v>-0.6</v>
      </c>
      <c r="D37">
        <f t="shared" si="2"/>
        <v>0.33322460289179967</v>
      </c>
      <c r="E37">
        <f t="shared" si="3"/>
        <v>0.27425311775007355</v>
      </c>
    </row>
    <row r="38" spans="3:5" x14ac:dyDescent="0.2">
      <c r="C38">
        <v>-0.5</v>
      </c>
      <c r="D38">
        <f t="shared" si="2"/>
        <v>0.35206532676429952</v>
      </c>
      <c r="E38">
        <f t="shared" si="3"/>
        <v>0.30853753872598688</v>
      </c>
    </row>
    <row r="39" spans="3:5" x14ac:dyDescent="0.2">
      <c r="C39">
        <v>-0.4</v>
      </c>
      <c r="D39">
        <f t="shared" si="2"/>
        <v>0.36827014030332333</v>
      </c>
      <c r="E39">
        <f t="shared" si="3"/>
        <v>0.34457825838967576</v>
      </c>
    </row>
    <row r="40" spans="3:5" x14ac:dyDescent="0.2">
      <c r="C40">
        <v>-0.3</v>
      </c>
      <c r="D40">
        <f t="shared" si="2"/>
        <v>0.38138781546052414</v>
      </c>
      <c r="E40">
        <f t="shared" si="3"/>
        <v>0.38208857781104733</v>
      </c>
    </row>
    <row r="41" spans="3:5" x14ac:dyDescent="0.2">
      <c r="C41">
        <v>-0.2</v>
      </c>
      <c r="D41">
        <f t="shared" si="2"/>
        <v>0.39104269397545588</v>
      </c>
      <c r="E41">
        <f t="shared" si="3"/>
        <v>0.42074029056089696</v>
      </c>
    </row>
    <row r="42" spans="3:5" x14ac:dyDescent="0.2">
      <c r="C42">
        <v>-0.1</v>
      </c>
      <c r="D42">
        <f t="shared" si="2"/>
        <v>0.39695254747701181</v>
      </c>
      <c r="E42">
        <f t="shared" si="3"/>
        <v>0.46017216272297101</v>
      </c>
    </row>
    <row r="43" spans="3:5" x14ac:dyDescent="0.2">
      <c r="C43">
        <v>0</v>
      </c>
      <c r="D43">
        <f t="shared" si="2"/>
        <v>0.3989422804014327</v>
      </c>
      <c r="E43">
        <f t="shared" si="3"/>
        <v>0.5</v>
      </c>
    </row>
    <row r="44" spans="3:5" x14ac:dyDescent="0.2">
      <c r="C44">
        <v>9.9999999999999603E-2</v>
      </c>
      <c r="D44">
        <f t="shared" si="2"/>
        <v>0.39695254747701181</v>
      </c>
      <c r="E44">
        <f t="shared" si="3"/>
        <v>0.53982783727702888</v>
      </c>
    </row>
    <row r="45" spans="3:5" x14ac:dyDescent="0.2">
      <c r="C45">
        <v>0.2</v>
      </c>
      <c r="D45">
        <f t="shared" si="2"/>
        <v>0.39104269397545588</v>
      </c>
      <c r="E45">
        <f t="shared" si="3"/>
        <v>0.57925970943910299</v>
      </c>
    </row>
    <row r="46" spans="3:5" x14ac:dyDescent="0.2">
      <c r="C46">
        <v>0.3</v>
      </c>
      <c r="D46">
        <f t="shared" si="2"/>
        <v>0.38138781546052414</v>
      </c>
      <c r="E46">
        <f t="shared" si="3"/>
        <v>0.61791142218895267</v>
      </c>
    </row>
    <row r="47" spans="3:5" x14ac:dyDescent="0.2">
      <c r="C47">
        <v>0.4</v>
      </c>
      <c r="D47">
        <f t="shared" si="2"/>
        <v>0.36827014030332333</v>
      </c>
      <c r="E47">
        <f t="shared" si="3"/>
        <v>0.65542174161032429</v>
      </c>
    </row>
    <row r="48" spans="3:5" x14ac:dyDescent="0.2">
      <c r="C48">
        <v>0.5</v>
      </c>
      <c r="D48">
        <f t="shared" si="2"/>
        <v>0.35206532676429952</v>
      </c>
      <c r="E48">
        <f t="shared" si="3"/>
        <v>0.69146246127401312</v>
      </c>
    </row>
    <row r="49" spans="3:5" x14ac:dyDescent="0.2">
      <c r="C49">
        <v>0.6</v>
      </c>
      <c r="D49">
        <f t="shared" si="2"/>
        <v>0.33322460289179967</v>
      </c>
      <c r="E49">
        <f t="shared" si="3"/>
        <v>0.72574688224992645</v>
      </c>
    </row>
    <row r="50" spans="3:5" x14ac:dyDescent="0.2">
      <c r="C50">
        <v>0.7</v>
      </c>
      <c r="D50">
        <f t="shared" si="2"/>
        <v>0.31225393336676127</v>
      </c>
      <c r="E50">
        <f t="shared" si="3"/>
        <v>0.75803634777692697</v>
      </c>
    </row>
    <row r="51" spans="3:5" x14ac:dyDescent="0.2">
      <c r="C51">
        <v>0.8</v>
      </c>
      <c r="D51">
        <f t="shared" si="2"/>
        <v>0.28969155276148273</v>
      </c>
      <c r="E51">
        <f t="shared" si="3"/>
        <v>0.78814460141660336</v>
      </c>
    </row>
    <row r="52" spans="3:5" x14ac:dyDescent="0.2">
      <c r="C52">
        <v>0.9</v>
      </c>
      <c r="D52">
        <f t="shared" si="2"/>
        <v>0.26608524989875482</v>
      </c>
      <c r="E52">
        <f t="shared" si="3"/>
        <v>0.81593987465324047</v>
      </c>
    </row>
    <row r="53" spans="3:5" x14ac:dyDescent="0.2">
      <c r="C53">
        <v>1</v>
      </c>
      <c r="D53">
        <f t="shared" si="2"/>
        <v>0.24197072451914337</v>
      </c>
      <c r="E53">
        <f t="shared" si="3"/>
        <v>0.84134474606854304</v>
      </c>
    </row>
    <row r="54" spans="3:5" x14ac:dyDescent="0.2">
      <c r="C54">
        <v>1.1000000000000001</v>
      </c>
      <c r="D54">
        <f t="shared" si="2"/>
        <v>0.21785217703255053</v>
      </c>
      <c r="E54">
        <f t="shared" si="3"/>
        <v>0.86433393905361733</v>
      </c>
    </row>
    <row r="55" spans="3:5" x14ac:dyDescent="0.2">
      <c r="C55">
        <v>1.2</v>
      </c>
      <c r="D55">
        <f t="shared" si="2"/>
        <v>0.19418605498321295</v>
      </c>
      <c r="E55">
        <f t="shared" si="3"/>
        <v>0.88493032977829178</v>
      </c>
    </row>
    <row r="56" spans="3:5" x14ac:dyDescent="0.2">
      <c r="C56">
        <v>1.3</v>
      </c>
      <c r="D56">
        <f t="shared" si="2"/>
        <v>0.17136859204780736</v>
      </c>
      <c r="E56">
        <f t="shared" si="3"/>
        <v>0.9031995154143897</v>
      </c>
    </row>
    <row r="57" spans="3:5" x14ac:dyDescent="0.2">
      <c r="C57">
        <v>1.4</v>
      </c>
      <c r="D57">
        <f t="shared" si="2"/>
        <v>0.14972746563574488</v>
      </c>
      <c r="E57">
        <f t="shared" si="3"/>
        <v>0.91924334076622893</v>
      </c>
    </row>
    <row r="58" spans="3:5" x14ac:dyDescent="0.2">
      <c r="C58">
        <v>1.50000000000001</v>
      </c>
      <c r="D58">
        <f t="shared" si="2"/>
        <v>0.1295175956658898</v>
      </c>
      <c r="E58">
        <f t="shared" si="3"/>
        <v>0.93319279873114325</v>
      </c>
    </row>
    <row r="59" spans="3:5" x14ac:dyDescent="0.2">
      <c r="C59">
        <v>1.6</v>
      </c>
      <c r="D59">
        <f t="shared" si="2"/>
        <v>0.11092083467945554</v>
      </c>
      <c r="E59">
        <f t="shared" si="3"/>
        <v>0.94520070830044201</v>
      </c>
    </row>
    <row r="60" spans="3:5" x14ac:dyDescent="0.2">
      <c r="C60">
        <v>1.7</v>
      </c>
      <c r="D60">
        <f t="shared" si="2"/>
        <v>9.4049077376886947E-2</v>
      </c>
      <c r="E60">
        <f t="shared" si="3"/>
        <v>0.95543453724145699</v>
      </c>
    </row>
    <row r="61" spans="3:5" x14ac:dyDescent="0.2">
      <c r="C61">
        <v>1.80000000000001</v>
      </c>
      <c r="D61">
        <f t="shared" si="2"/>
        <v>7.8950158300892734E-2</v>
      </c>
      <c r="E61">
        <f t="shared" si="3"/>
        <v>0.96406968088707501</v>
      </c>
    </row>
    <row r="62" spans="3:5" x14ac:dyDescent="0.2">
      <c r="C62">
        <v>1.9000000000000099</v>
      </c>
      <c r="D62">
        <f t="shared" si="2"/>
        <v>6.561581477467536E-2</v>
      </c>
      <c r="E62">
        <f t="shared" si="3"/>
        <v>0.97128344018399881</v>
      </c>
    </row>
    <row r="63" spans="3:5" x14ac:dyDescent="0.2">
      <c r="C63">
        <v>2.0000000000000102</v>
      </c>
      <c r="D63">
        <f t="shared" si="2"/>
        <v>5.3990966513186953E-2</v>
      </c>
      <c r="E63">
        <f t="shared" si="3"/>
        <v>0.97724986805182135</v>
      </c>
    </row>
    <row r="64" spans="3:5" x14ac:dyDescent="0.2">
      <c r="C64">
        <v>2.1</v>
      </c>
      <c r="D64">
        <f t="shared" si="2"/>
        <v>4.3983595980427191E-2</v>
      </c>
      <c r="E64">
        <f t="shared" si="3"/>
        <v>0.98213557943718344</v>
      </c>
    </row>
    <row r="65" spans="3:5" x14ac:dyDescent="0.2">
      <c r="C65">
        <v>2.2000000000000099</v>
      </c>
      <c r="D65">
        <f t="shared" si="2"/>
        <v>3.5474592846230668E-2</v>
      </c>
      <c r="E65">
        <f t="shared" si="3"/>
        <v>0.98609655248650174</v>
      </c>
    </row>
    <row r="66" spans="3:5" x14ac:dyDescent="0.2">
      <c r="C66">
        <v>2.30000000000001</v>
      </c>
      <c r="D66">
        <f t="shared" si="2"/>
        <v>2.8327037741600516E-2</v>
      </c>
      <c r="E66">
        <f t="shared" si="3"/>
        <v>0.9892758899783245</v>
      </c>
    </row>
    <row r="67" spans="3:5" x14ac:dyDescent="0.2">
      <c r="C67">
        <v>2.4000000000000101</v>
      </c>
      <c r="D67">
        <f t="shared" ref="D67:D86" si="4">_xlfn.NORM.S.DIST(C67,FALSE)</f>
        <v>2.2394530294842355E-2</v>
      </c>
      <c r="E67">
        <f t="shared" ref="E67:E86" si="5">_xlfn.NORM.S.DIST(C67,TRUE)</f>
        <v>0.99180246407540407</v>
      </c>
    </row>
    <row r="68" spans="3:5" x14ac:dyDescent="0.2">
      <c r="C68">
        <v>2.5000000000000102</v>
      </c>
      <c r="D68">
        <f t="shared" si="4"/>
        <v>1.7528300493568086E-2</v>
      </c>
      <c r="E68">
        <f t="shared" si="5"/>
        <v>0.99379033467422406</v>
      </c>
    </row>
    <row r="69" spans="3:5" x14ac:dyDescent="0.2">
      <c r="C69">
        <v>2.6000000000000099</v>
      </c>
      <c r="D69">
        <f t="shared" si="4"/>
        <v>1.3582969233685271E-2</v>
      </c>
      <c r="E69">
        <f t="shared" si="5"/>
        <v>0.99533881197628138</v>
      </c>
    </row>
    <row r="70" spans="3:5" x14ac:dyDescent="0.2">
      <c r="C70">
        <v>2.7000000000000099</v>
      </c>
      <c r="D70">
        <f t="shared" si="4"/>
        <v>1.0420934814422318E-2</v>
      </c>
      <c r="E70">
        <f t="shared" si="5"/>
        <v>0.99653302619695949</v>
      </c>
    </row>
    <row r="71" spans="3:5" x14ac:dyDescent="0.2">
      <c r="C71">
        <v>2.80000000000001</v>
      </c>
      <c r="D71">
        <f t="shared" si="4"/>
        <v>7.915451582979743E-3</v>
      </c>
      <c r="E71">
        <f t="shared" si="5"/>
        <v>0.99744486966957213</v>
      </c>
    </row>
    <row r="72" spans="3:5" x14ac:dyDescent="0.2">
      <c r="C72">
        <v>2.9000000000000101</v>
      </c>
      <c r="D72">
        <f t="shared" si="4"/>
        <v>5.9525324197756795E-3</v>
      </c>
      <c r="E72">
        <f t="shared" si="5"/>
        <v>0.99813418669961607</v>
      </c>
    </row>
    <row r="73" spans="3:5" x14ac:dyDescent="0.2">
      <c r="C73">
        <v>3.0000000000000102</v>
      </c>
      <c r="D73">
        <f t="shared" si="4"/>
        <v>4.431848411937874E-3</v>
      </c>
      <c r="E73">
        <f t="shared" si="5"/>
        <v>0.9986501019683699</v>
      </c>
    </row>
    <row r="74" spans="3:5" x14ac:dyDescent="0.2">
      <c r="C74">
        <v>3.1000000000000099</v>
      </c>
      <c r="D74">
        <f t="shared" si="4"/>
        <v>3.2668190561998202E-3</v>
      </c>
      <c r="E74">
        <f t="shared" si="5"/>
        <v>0.99903239678678168</v>
      </c>
    </row>
    <row r="75" spans="3:5" x14ac:dyDescent="0.2">
      <c r="C75">
        <v>3.2000000000000099</v>
      </c>
      <c r="D75">
        <f t="shared" si="4"/>
        <v>2.3840882014647662E-3</v>
      </c>
      <c r="E75">
        <f t="shared" si="5"/>
        <v>0.99931286206208414</v>
      </c>
    </row>
    <row r="76" spans="3:5" x14ac:dyDescent="0.2">
      <c r="C76">
        <v>3.30000000000001</v>
      </c>
      <c r="D76">
        <f t="shared" si="4"/>
        <v>1.7225689390536229E-3</v>
      </c>
      <c r="E76">
        <f t="shared" si="5"/>
        <v>0.99951657585761622</v>
      </c>
    </row>
    <row r="77" spans="3:5" x14ac:dyDescent="0.2">
      <c r="C77">
        <v>3.4000000000000101</v>
      </c>
      <c r="D77">
        <f t="shared" si="4"/>
        <v>1.2322191684729772E-3</v>
      </c>
      <c r="E77">
        <f t="shared" si="5"/>
        <v>0.99966307073432314</v>
      </c>
    </row>
    <row r="78" spans="3:5" x14ac:dyDescent="0.2">
      <c r="C78">
        <v>3.5000000000000102</v>
      </c>
      <c r="D78">
        <f t="shared" si="4"/>
        <v>8.7268269504572915E-4</v>
      </c>
      <c r="E78">
        <f t="shared" si="5"/>
        <v>0.99976737092096446</v>
      </c>
    </row>
    <row r="79" spans="3:5" x14ac:dyDescent="0.2">
      <c r="C79">
        <v>3.6000000000000099</v>
      </c>
      <c r="D79">
        <f t="shared" si="4"/>
        <v>6.1190193011375076E-4</v>
      </c>
      <c r="E79">
        <f t="shared" si="5"/>
        <v>0.99984089140984245</v>
      </c>
    </row>
    <row r="80" spans="3:5" x14ac:dyDescent="0.2">
      <c r="C80">
        <v>3.7000000000000099</v>
      </c>
      <c r="D80">
        <f t="shared" si="4"/>
        <v>4.2478027055073593E-4</v>
      </c>
      <c r="E80">
        <f t="shared" si="5"/>
        <v>0.99989220026652259</v>
      </c>
    </row>
    <row r="81" spans="3:5" x14ac:dyDescent="0.2">
      <c r="C81">
        <v>3.80000000000001</v>
      </c>
      <c r="D81">
        <f t="shared" si="4"/>
        <v>2.919469257914491E-4</v>
      </c>
      <c r="E81">
        <f t="shared" si="5"/>
        <v>0.99992765195607491</v>
      </c>
    </row>
    <row r="82" spans="3:5" x14ac:dyDescent="0.2">
      <c r="C82">
        <v>3.9000000000000101</v>
      </c>
      <c r="D82">
        <f t="shared" si="4"/>
        <v>1.9865547139276475E-4</v>
      </c>
      <c r="E82">
        <f t="shared" si="5"/>
        <v>0.99995190365598241</v>
      </c>
    </row>
    <row r="83" spans="3:5" x14ac:dyDescent="0.2">
      <c r="C83">
        <v>4.0000000000000098</v>
      </c>
      <c r="D83">
        <f t="shared" si="4"/>
        <v>1.3383022576488014E-4</v>
      </c>
      <c r="E83">
        <f t="shared" si="5"/>
        <v>0.99996832875816688</v>
      </c>
    </row>
    <row r="84" spans="3:5" x14ac:dyDescent="0.2">
      <c r="C84">
        <v>4.1000000000000103</v>
      </c>
      <c r="D84">
        <f t="shared" si="4"/>
        <v>8.926165717712912E-5</v>
      </c>
      <c r="E84">
        <f t="shared" si="5"/>
        <v>0.99997934249308751</v>
      </c>
    </row>
    <row r="85" spans="3:5" x14ac:dyDescent="0.2">
      <c r="C85">
        <v>4.2000000000000099</v>
      </c>
      <c r="D85">
        <f t="shared" si="4"/>
        <v>5.8943067756537443E-5</v>
      </c>
      <c r="E85">
        <f t="shared" si="5"/>
        <v>0.9999866542509841</v>
      </c>
    </row>
    <row r="86" spans="3:5" x14ac:dyDescent="0.2">
      <c r="C86">
        <v>4.3000000000000096</v>
      </c>
      <c r="D86">
        <f t="shared" si="4"/>
        <v>3.853519674208549E-5</v>
      </c>
      <c r="E86">
        <f t="shared" si="5"/>
        <v>0.99999146009452899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4E6ED-8B58-B44E-88A5-8CDC92A0FB03}">
  <dimension ref="B14:D125"/>
  <sheetViews>
    <sheetView topLeftCell="A60" workbookViewId="0">
      <selection activeCell="C115" sqref="C115"/>
    </sheetView>
  </sheetViews>
  <sheetFormatPr baseColWidth="10" defaultRowHeight="21" x14ac:dyDescent="0.25"/>
  <cols>
    <col min="1" max="1" width="10.83203125" style="5"/>
    <col min="2" max="2" width="19.83203125" style="5" bestFit="1" customWidth="1"/>
    <col min="3" max="3" width="21" style="5" customWidth="1"/>
    <col min="4" max="16384" width="10.83203125" style="5"/>
  </cols>
  <sheetData>
    <row r="14" spans="2:3" x14ac:dyDescent="0.25">
      <c r="B14" s="5" t="s">
        <v>120</v>
      </c>
      <c r="C14" s="5">
        <v>1.65</v>
      </c>
    </row>
    <row r="16" spans="2:3" x14ac:dyDescent="0.25">
      <c r="B16" s="5" t="s">
        <v>119</v>
      </c>
      <c r="C16" s="5">
        <f>_xlfn.NORM.S.DIST(C14,TRUE)</f>
        <v>0.9505285319663519</v>
      </c>
    </row>
    <row r="17" spans="2:3" x14ac:dyDescent="0.25">
      <c r="C17" s="5">
        <f>NORMSDIST(C14)</f>
        <v>0.9505285319663519</v>
      </c>
    </row>
    <row r="18" spans="2:3" x14ac:dyDescent="0.25">
      <c r="C18" s="5">
        <f>_xlfn.NORM.DIST(C14,0,1,TRUE)</f>
        <v>0.9505285319663519</v>
      </c>
    </row>
    <row r="20" spans="2:3" x14ac:dyDescent="0.25">
      <c r="B20" s="5" t="s">
        <v>118</v>
      </c>
      <c r="C20" s="5">
        <f>1-C16</f>
        <v>4.9471468033648103E-2</v>
      </c>
    </row>
    <row r="21" spans="2:3" x14ac:dyDescent="0.25">
      <c r="C21" s="5">
        <f>1-NORMSDIST(C14)</f>
        <v>4.9471468033648103E-2</v>
      </c>
    </row>
    <row r="35" spans="2:4" x14ac:dyDescent="0.25">
      <c r="B35" s="5" t="s">
        <v>1</v>
      </c>
      <c r="D35" s="5">
        <f>C40-C41</f>
        <v>0.13590512198327781</v>
      </c>
    </row>
    <row r="37" spans="2:4" x14ac:dyDescent="0.25">
      <c r="B37" s="5" t="s">
        <v>117</v>
      </c>
      <c r="C37" s="5">
        <v>-1</v>
      </c>
    </row>
    <row r="38" spans="2:4" x14ac:dyDescent="0.25">
      <c r="B38" s="5" t="s">
        <v>116</v>
      </c>
      <c r="C38" s="5">
        <v>-2</v>
      </c>
    </row>
    <row r="40" spans="2:4" x14ac:dyDescent="0.25">
      <c r="B40" s="5" t="s">
        <v>115</v>
      </c>
      <c r="C40" s="5">
        <f>NORMSDIST(C37)</f>
        <v>0.15865525393145699</v>
      </c>
    </row>
    <row r="41" spans="2:4" x14ac:dyDescent="0.25">
      <c r="B41" s="5" t="s">
        <v>114</v>
      </c>
      <c r="C41" s="5">
        <f>NORMSDIST(C38)</f>
        <v>2.2750131948179191E-2</v>
      </c>
    </row>
    <row r="56" spans="2:4" x14ac:dyDescent="0.25">
      <c r="B56" s="5" t="s">
        <v>113</v>
      </c>
      <c r="D56" s="5">
        <f>_xlfn.NORM.S.INV(D58)</f>
        <v>1.2815515655446006</v>
      </c>
    </row>
    <row r="58" spans="2:4" x14ac:dyDescent="0.25">
      <c r="B58" s="5" t="s">
        <v>112</v>
      </c>
      <c r="D58" s="5">
        <v>0.9</v>
      </c>
    </row>
    <row r="65" spans="2:3" x14ac:dyDescent="0.25">
      <c r="B65" s="5" t="s">
        <v>104</v>
      </c>
    </row>
    <row r="67" spans="2:3" x14ac:dyDescent="0.25">
      <c r="B67" s="5" t="s">
        <v>103</v>
      </c>
      <c r="C67" s="5">
        <v>175</v>
      </c>
    </row>
    <row r="68" spans="2:3" x14ac:dyDescent="0.25">
      <c r="B68" s="5" t="s">
        <v>102</v>
      </c>
      <c r="C68" s="5">
        <v>27</v>
      </c>
    </row>
    <row r="75" spans="2:3" x14ac:dyDescent="0.25">
      <c r="B75" s="5" t="s">
        <v>105</v>
      </c>
    </row>
    <row r="77" spans="2:3" x14ac:dyDescent="0.25">
      <c r="B77" s="5" t="s">
        <v>111</v>
      </c>
      <c r="C77" s="5" t="s">
        <v>110</v>
      </c>
    </row>
    <row r="79" spans="2:3" x14ac:dyDescent="0.25">
      <c r="B79" s="5" t="s">
        <v>109</v>
      </c>
      <c r="C79" s="5">
        <f>(180-C67)/C68^0.5</f>
        <v>0.96225044864937626</v>
      </c>
    </row>
    <row r="81" spans="2:4" x14ac:dyDescent="0.25">
      <c r="B81" s="5" t="s">
        <v>105</v>
      </c>
    </row>
    <row r="82" spans="2:4" x14ac:dyDescent="0.25">
      <c r="B82" s="5" t="s">
        <v>108</v>
      </c>
      <c r="D82" s="5">
        <f>1-_xlfn.NORM.S.DIST(C79,TRUE)</f>
        <v>0.16796190657586785</v>
      </c>
    </row>
    <row r="84" spans="2:4" x14ac:dyDescent="0.25">
      <c r="B84" s="5" t="s">
        <v>107</v>
      </c>
      <c r="C84" s="5" t="s">
        <v>106</v>
      </c>
    </row>
    <row r="86" spans="2:4" x14ac:dyDescent="0.25">
      <c r="B86" s="5" t="s">
        <v>105</v>
      </c>
      <c r="C86" s="5">
        <f>1-_xlfn.NORM.DIST(180,C67,C68^0.5,TRUE)</f>
        <v>0.16796190657586785</v>
      </c>
    </row>
    <row r="107" spans="2:3" x14ac:dyDescent="0.25">
      <c r="B107" s="5" t="s">
        <v>104</v>
      </c>
    </row>
    <row r="109" spans="2:3" x14ac:dyDescent="0.25">
      <c r="B109" s="5" t="s">
        <v>103</v>
      </c>
      <c r="C109" s="5">
        <v>175</v>
      </c>
    </row>
    <row r="110" spans="2:3" x14ac:dyDescent="0.25">
      <c r="B110" s="5" t="s">
        <v>102</v>
      </c>
      <c r="C110" s="5">
        <v>27</v>
      </c>
    </row>
    <row r="112" spans="2:3" x14ac:dyDescent="0.25">
      <c r="B112" s="7" t="s">
        <v>101</v>
      </c>
      <c r="C112" s="7">
        <f>_xlfn.NORM.DIST(165,C109,C110^0.5,TRUE)</f>
        <v>2.7145914183427305E-2</v>
      </c>
    </row>
    <row r="113" spans="2:3" x14ac:dyDescent="0.25">
      <c r="B113" s="6" t="s">
        <v>100</v>
      </c>
      <c r="C113" s="6">
        <f>_xlfn.NORM.DIST(172,C109,C110^0.5,TRUE)</f>
        <v>0.2818514308253865</v>
      </c>
    </row>
    <row r="115" spans="2:3" x14ac:dyDescent="0.25">
      <c r="B115" s="5" t="s">
        <v>99</v>
      </c>
      <c r="C115" s="5">
        <f>C113-C112</f>
        <v>0.25470551664195917</v>
      </c>
    </row>
    <row r="117" spans="2:3" x14ac:dyDescent="0.25">
      <c r="B117" s="5" t="s">
        <v>98</v>
      </c>
    </row>
    <row r="119" spans="2:3" x14ac:dyDescent="0.25">
      <c r="B119" s="5" t="s">
        <v>97</v>
      </c>
      <c r="C119" s="5">
        <v>165</v>
      </c>
    </row>
    <row r="120" spans="2:3" x14ac:dyDescent="0.25">
      <c r="B120" s="5" t="s">
        <v>96</v>
      </c>
      <c r="C120" s="5">
        <f>(C119-C109)/C110^0.5</f>
        <v>-1.9245008972987525</v>
      </c>
    </row>
    <row r="121" spans="2:3" x14ac:dyDescent="0.25">
      <c r="B121" s="7" t="s">
        <v>95</v>
      </c>
      <c r="C121" s="7">
        <f>_xlfn.NORM.S.DIST(C120,TRUE)</f>
        <v>2.7145914183427305E-2</v>
      </c>
    </row>
    <row r="123" spans="2:3" x14ac:dyDescent="0.25">
      <c r="B123" s="5" t="s">
        <v>94</v>
      </c>
      <c r="C123" s="5">
        <v>172</v>
      </c>
    </row>
    <row r="124" spans="2:3" x14ac:dyDescent="0.25">
      <c r="B124" s="5" t="s">
        <v>93</v>
      </c>
      <c r="C124" s="5">
        <f>(C123-C109)/C110^0.5</f>
        <v>-0.57735026918962573</v>
      </c>
    </row>
    <row r="125" spans="2:3" x14ac:dyDescent="0.25">
      <c r="B125" s="6" t="s">
        <v>92</v>
      </c>
      <c r="C125" s="6">
        <f>NORMSDIST(C124)</f>
        <v>0.2818514308253865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C24E0-4AEB-C743-B383-F89F6261E3E6}">
  <dimension ref="A14:L88"/>
  <sheetViews>
    <sheetView topLeftCell="A75" workbookViewId="0">
      <selection activeCell="L15" sqref="L15"/>
    </sheetView>
  </sheetViews>
  <sheetFormatPr baseColWidth="10" defaultRowHeight="21" x14ac:dyDescent="0.25"/>
  <cols>
    <col min="1" max="10" width="10.83203125" style="5"/>
    <col min="11" max="11" width="14.5" style="5" bestFit="1" customWidth="1"/>
    <col min="12" max="12" width="15.83203125" style="5" bestFit="1" customWidth="1"/>
    <col min="13" max="16384" width="10.83203125" style="5"/>
  </cols>
  <sheetData>
    <row r="14" spans="2:12" x14ac:dyDescent="0.25">
      <c r="B14" s="5" t="s">
        <v>49</v>
      </c>
      <c r="C14" s="5">
        <v>175</v>
      </c>
      <c r="K14" s="5" t="s">
        <v>138</v>
      </c>
      <c r="L14" s="5">
        <f>C14-4*C16</f>
        <v>154.21539030917347</v>
      </c>
    </row>
    <row r="15" spans="2:12" x14ac:dyDescent="0.25">
      <c r="B15" s="5" t="s">
        <v>48</v>
      </c>
      <c r="C15" s="5">
        <v>27</v>
      </c>
      <c r="K15" s="5" t="s">
        <v>137</v>
      </c>
      <c r="L15" s="5">
        <f>C14+4*C16</f>
        <v>195.78460969082653</v>
      </c>
    </row>
    <row r="16" spans="2:12" x14ac:dyDescent="0.25">
      <c r="B16" s="5" t="s">
        <v>129</v>
      </c>
      <c r="C16" s="5">
        <f>C15^0.5</f>
        <v>5.196152422706632</v>
      </c>
    </row>
    <row r="17" spans="1:12" x14ac:dyDescent="0.25">
      <c r="K17" s="5" t="s">
        <v>83</v>
      </c>
      <c r="L17" s="5" t="s">
        <v>136</v>
      </c>
    </row>
    <row r="18" spans="1:12" x14ac:dyDescent="0.25">
      <c r="K18" s="5">
        <v>154</v>
      </c>
      <c r="L18" s="5">
        <f t="shared" ref="L18:L59" si="0">_xlfn.NORM.DIST(K18,$C$14,$C$16,FALSE)</f>
        <v>2.180167768999956E-5</v>
      </c>
    </row>
    <row r="19" spans="1:12" x14ac:dyDescent="0.25">
      <c r="B19" s="5" t="s">
        <v>128</v>
      </c>
      <c r="K19" s="5">
        <v>155</v>
      </c>
      <c r="L19" s="5">
        <f t="shared" si="0"/>
        <v>4.658348989938462E-5</v>
      </c>
    </row>
    <row r="20" spans="1:12" x14ac:dyDescent="0.25">
      <c r="K20" s="5">
        <v>156</v>
      </c>
      <c r="L20" s="5">
        <f t="shared" si="0"/>
        <v>9.5915577792160924E-5</v>
      </c>
    </row>
    <row r="21" spans="1:12" x14ac:dyDescent="0.25">
      <c r="A21" s="5" t="s">
        <v>36</v>
      </c>
      <c r="B21" s="5" t="s">
        <v>126</v>
      </c>
      <c r="C21" s="5">
        <f>_xlfn.NORM.INV(0.75,C14,C16)</f>
        <v>178.50475154957215</v>
      </c>
      <c r="K21" s="5">
        <v>157</v>
      </c>
      <c r="L21" s="5">
        <f t="shared" si="0"/>
        <v>1.9030986111723684E-4</v>
      </c>
    </row>
    <row r="22" spans="1:12" x14ac:dyDescent="0.25">
      <c r="K22" s="5">
        <v>158</v>
      </c>
      <c r="L22" s="5">
        <f t="shared" si="0"/>
        <v>3.6387184807010756E-4</v>
      </c>
    </row>
    <row r="23" spans="1:12" x14ac:dyDescent="0.25">
      <c r="A23" s="5" t="s">
        <v>33</v>
      </c>
      <c r="B23" s="5" t="s">
        <v>135</v>
      </c>
      <c r="C23" s="5">
        <f>_xlfn.NORM.INV(0.1,C14,C16)</f>
        <v>168.34086272787195</v>
      </c>
      <c r="K23" s="5">
        <v>159</v>
      </c>
      <c r="L23" s="5">
        <f t="shared" si="0"/>
        <v>6.7042567805120578E-4</v>
      </c>
    </row>
    <row r="24" spans="1:12" x14ac:dyDescent="0.25">
      <c r="K24" s="5">
        <v>160</v>
      </c>
      <c r="L24" s="5">
        <f t="shared" si="0"/>
        <v>1.1903312694928514E-3</v>
      </c>
    </row>
    <row r="25" spans="1:12" x14ac:dyDescent="0.25">
      <c r="K25" s="5">
        <v>161</v>
      </c>
      <c r="L25" s="5">
        <f t="shared" si="0"/>
        <v>2.0365733866798538E-3</v>
      </c>
    </row>
    <row r="26" spans="1:12" x14ac:dyDescent="0.25">
      <c r="K26" s="5">
        <v>162</v>
      </c>
      <c r="L26" s="5">
        <f t="shared" si="0"/>
        <v>3.3577418619608703E-3</v>
      </c>
    </row>
    <row r="27" spans="1:12" x14ac:dyDescent="0.25">
      <c r="K27" s="5">
        <v>163</v>
      </c>
      <c r="L27" s="5">
        <f t="shared" si="0"/>
        <v>5.3346946405677439E-3</v>
      </c>
    </row>
    <row r="28" spans="1:12" x14ac:dyDescent="0.25">
      <c r="K28" s="5">
        <v>164</v>
      </c>
      <c r="L28" s="5">
        <f t="shared" si="0"/>
        <v>8.167456773959348E-3</v>
      </c>
    </row>
    <row r="29" spans="1:12" x14ac:dyDescent="0.25">
      <c r="K29" s="5">
        <v>165</v>
      </c>
      <c r="L29" s="5">
        <f t="shared" si="0"/>
        <v>1.2049780703886239E-2</v>
      </c>
    </row>
    <row r="30" spans="1:12" x14ac:dyDescent="0.25">
      <c r="K30" s="5">
        <v>166</v>
      </c>
      <c r="L30" s="5">
        <f t="shared" si="0"/>
        <v>1.7131147755974369E-2</v>
      </c>
    </row>
    <row r="31" spans="1:12" x14ac:dyDescent="0.25">
      <c r="A31" s="5" t="s">
        <v>30</v>
      </c>
      <c r="B31" s="5" t="s">
        <v>122</v>
      </c>
      <c r="C31" s="5">
        <f>_xlfn.NORM.INV(0.05,175,C16)</f>
        <v>166.4530898413183</v>
      </c>
      <c r="K31" s="5">
        <v>167</v>
      </c>
      <c r="L31" s="5">
        <f t="shared" si="0"/>
        <v>2.3469768064202999E-2</v>
      </c>
    </row>
    <row r="32" spans="1:12" x14ac:dyDescent="0.25">
      <c r="B32" s="5" t="s">
        <v>134</v>
      </c>
      <c r="C32" s="5">
        <f>_xlfn.NORM.INV(0.95,175,C16)</f>
        <v>183.54691015868167</v>
      </c>
      <c r="K32" s="5">
        <v>168</v>
      </c>
      <c r="L32" s="5">
        <f t="shared" si="0"/>
        <v>3.0984618544582225E-2</v>
      </c>
    </row>
    <row r="33" spans="2:12" x14ac:dyDescent="0.25">
      <c r="K33" s="5">
        <v>169</v>
      </c>
      <c r="L33" s="5">
        <f t="shared" si="0"/>
        <v>3.9418357969819733E-2</v>
      </c>
    </row>
    <row r="34" spans="2:12" x14ac:dyDescent="0.25">
      <c r="K34" s="5">
        <v>170</v>
      </c>
      <c r="L34" s="5">
        <f t="shared" si="0"/>
        <v>4.8324339146513247E-2</v>
      </c>
    </row>
    <row r="35" spans="2:12" x14ac:dyDescent="0.25">
      <c r="B35" s="5" t="s">
        <v>133</v>
      </c>
      <c r="K35" s="5">
        <v>171</v>
      </c>
      <c r="L35" s="5">
        <f t="shared" si="0"/>
        <v>5.7088461245584386E-2</v>
      </c>
    </row>
    <row r="36" spans="2:12" x14ac:dyDescent="0.25">
      <c r="B36" s="5" t="s">
        <v>132</v>
      </c>
      <c r="K36" s="5">
        <v>172</v>
      </c>
      <c r="L36" s="5">
        <f t="shared" si="0"/>
        <v>6.4989885240913717E-2</v>
      </c>
    </row>
    <row r="37" spans="2:12" x14ac:dyDescent="0.25">
      <c r="K37" s="5">
        <v>173</v>
      </c>
      <c r="L37" s="5">
        <f t="shared" si="0"/>
        <v>7.1294860259594431E-2</v>
      </c>
    </row>
    <row r="38" spans="2:12" x14ac:dyDescent="0.25">
      <c r="K38" s="5">
        <v>174</v>
      </c>
      <c r="L38" s="5">
        <f t="shared" si="0"/>
        <v>7.5367774839221274E-2</v>
      </c>
    </row>
    <row r="39" spans="2:12" x14ac:dyDescent="0.25">
      <c r="K39" s="5">
        <v>175</v>
      </c>
      <c r="L39" s="5">
        <f t="shared" si="0"/>
        <v>7.6776477660296785E-2</v>
      </c>
    </row>
    <row r="40" spans="2:12" x14ac:dyDescent="0.25">
      <c r="K40" s="5">
        <v>176</v>
      </c>
      <c r="L40" s="5">
        <f t="shared" si="0"/>
        <v>7.5367774839221274E-2</v>
      </c>
    </row>
    <row r="41" spans="2:12" x14ac:dyDescent="0.25">
      <c r="K41" s="5">
        <v>177</v>
      </c>
      <c r="L41" s="5">
        <f t="shared" si="0"/>
        <v>7.1294860259594431E-2</v>
      </c>
    </row>
    <row r="42" spans="2:12" x14ac:dyDescent="0.25">
      <c r="K42" s="5">
        <v>178</v>
      </c>
      <c r="L42" s="5">
        <f t="shared" si="0"/>
        <v>6.4989885240913717E-2</v>
      </c>
    </row>
    <row r="43" spans="2:12" x14ac:dyDescent="0.25">
      <c r="B43" s="5" t="s">
        <v>131</v>
      </c>
      <c r="K43" s="5">
        <v>179</v>
      </c>
      <c r="L43" s="5">
        <f t="shared" si="0"/>
        <v>5.7088461245584386E-2</v>
      </c>
    </row>
    <row r="44" spans="2:12" x14ac:dyDescent="0.25">
      <c r="K44" s="5">
        <v>180</v>
      </c>
      <c r="L44" s="5">
        <f t="shared" si="0"/>
        <v>4.8324339146513247E-2</v>
      </c>
    </row>
    <row r="45" spans="2:12" x14ac:dyDescent="0.25">
      <c r="B45" s="5" t="s">
        <v>130</v>
      </c>
      <c r="K45" s="5">
        <v>181</v>
      </c>
      <c r="L45" s="5">
        <f t="shared" si="0"/>
        <v>3.9418357969819733E-2</v>
      </c>
    </row>
    <row r="46" spans="2:12" x14ac:dyDescent="0.25">
      <c r="K46" s="5">
        <v>182</v>
      </c>
      <c r="L46" s="5">
        <f t="shared" si="0"/>
        <v>3.0984618544582225E-2</v>
      </c>
    </row>
    <row r="47" spans="2:12" x14ac:dyDescent="0.25">
      <c r="K47" s="5">
        <v>183</v>
      </c>
      <c r="L47" s="5">
        <f t="shared" si="0"/>
        <v>2.3469768064202999E-2</v>
      </c>
    </row>
    <row r="48" spans="2:12" x14ac:dyDescent="0.25">
      <c r="K48" s="5">
        <v>184</v>
      </c>
      <c r="L48" s="5">
        <f t="shared" si="0"/>
        <v>1.7131147755974369E-2</v>
      </c>
    </row>
    <row r="49" spans="11:12" x14ac:dyDescent="0.25">
      <c r="K49" s="5">
        <v>185</v>
      </c>
      <c r="L49" s="5">
        <f t="shared" si="0"/>
        <v>1.2049780703886239E-2</v>
      </c>
    </row>
    <row r="50" spans="11:12" x14ac:dyDescent="0.25">
      <c r="K50" s="5">
        <v>186</v>
      </c>
      <c r="L50" s="5">
        <f t="shared" si="0"/>
        <v>8.167456773959348E-3</v>
      </c>
    </row>
    <row r="51" spans="11:12" x14ac:dyDescent="0.25">
      <c r="K51" s="5">
        <v>187</v>
      </c>
      <c r="L51" s="5">
        <f t="shared" si="0"/>
        <v>5.3346946405677439E-3</v>
      </c>
    </row>
    <row r="52" spans="11:12" x14ac:dyDescent="0.25">
      <c r="K52" s="5">
        <v>188</v>
      </c>
      <c r="L52" s="5">
        <f t="shared" si="0"/>
        <v>3.3577418619608703E-3</v>
      </c>
    </row>
    <row r="53" spans="11:12" x14ac:dyDescent="0.25">
      <c r="K53" s="5">
        <v>189</v>
      </c>
      <c r="L53" s="5">
        <f t="shared" si="0"/>
        <v>2.0365733866798538E-3</v>
      </c>
    </row>
    <row r="54" spans="11:12" x14ac:dyDescent="0.25">
      <c r="K54" s="5">
        <v>190</v>
      </c>
      <c r="L54" s="5">
        <f t="shared" si="0"/>
        <v>1.1903312694928514E-3</v>
      </c>
    </row>
    <row r="55" spans="11:12" x14ac:dyDescent="0.25">
      <c r="K55" s="5">
        <v>191</v>
      </c>
      <c r="L55" s="5">
        <f t="shared" si="0"/>
        <v>6.7042567805120578E-4</v>
      </c>
    </row>
    <row r="56" spans="11:12" x14ac:dyDescent="0.25">
      <c r="K56" s="5">
        <v>192</v>
      </c>
      <c r="L56" s="5">
        <f t="shared" si="0"/>
        <v>3.6387184807010756E-4</v>
      </c>
    </row>
    <row r="57" spans="11:12" x14ac:dyDescent="0.25">
      <c r="K57" s="5">
        <v>193</v>
      </c>
      <c r="L57" s="5">
        <f t="shared" si="0"/>
        <v>1.9030986111723684E-4</v>
      </c>
    </row>
    <row r="58" spans="11:12" x14ac:dyDescent="0.25">
      <c r="K58" s="5">
        <v>194</v>
      </c>
      <c r="L58" s="5">
        <f t="shared" si="0"/>
        <v>9.5915577792160924E-5</v>
      </c>
    </row>
    <row r="59" spans="11:12" x14ac:dyDescent="0.25">
      <c r="K59" s="5">
        <v>195</v>
      </c>
      <c r="L59" s="5">
        <f t="shared" si="0"/>
        <v>4.658348989938462E-5</v>
      </c>
    </row>
    <row r="68" spans="2:4" x14ac:dyDescent="0.25">
      <c r="C68" s="5" t="s">
        <v>49</v>
      </c>
      <c r="D68" s="5">
        <v>175</v>
      </c>
    </row>
    <row r="69" spans="2:4" x14ac:dyDescent="0.25">
      <c r="C69" s="5" t="s">
        <v>48</v>
      </c>
      <c r="D69" s="5">
        <v>27</v>
      </c>
    </row>
    <row r="70" spans="2:4" x14ac:dyDescent="0.25">
      <c r="C70" s="5" t="s">
        <v>129</v>
      </c>
      <c r="D70" s="5">
        <f>D69^0.5</f>
        <v>5.196152422706632</v>
      </c>
    </row>
    <row r="73" spans="2:4" x14ac:dyDescent="0.25">
      <c r="C73" s="5" t="s">
        <v>128</v>
      </c>
    </row>
    <row r="75" spans="2:4" x14ac:dyDescent="0.25">
      <c r="B75" s="5" t="s">
        <v>36</v>
      </c>
      <c r="C75" s="5" t="s">
        <v>127</v>
      </c>
      <c r="D75" s="5">
        <f>_xlfn.NORM.S.INV(0.75)</f>
        <v>0.67448975019608193</v>
      </c>
    </row>
    <row r="77" spans="2:4" x14ac:dyDescent="0.25">
      <c r="C77" s="5" t="s">
        <v>126</v>
      </c>
      <c r="D77" s="5">
        <f>D68+D75*D70</f>
        <v>178.50475154957215</v>
      </c>
    </row>
    <row r="78" spans="2:4" x14ac:dyDescent="0.25">
      <c r="D78" s="5">
        <f>_xlfn.NORM.INV(0.75,D68,D70)</f>
        <v>178.50475154957215</v>
      </c>
    </row>
    <row r="80" spans="2:4" x14ac:dyDescent="0.25">
      <c r="B80" s="5" t="s">
        <v>33</v>
      </c>
      <c r="C80" s="5" t="s">
        <v>125</v>
      </c>
      <c r="D80" s="5">
        <f>_xlfn.NORM.S.INV(0.1)</f>
        <v>-1.2815515655446006</v>
      </c>
    </row>
    <row r="81" spans="2:4" x14ac:dyDescent="0.25">
      <c r="D81" s="5">
        <f>D68+D80*D70</f>
        <v>168.34086272787195</v>
      </c>
    </row>
    <row r="84" spans="2:4" x14ac:dyDescent="0.25">
      <c r="B84" s="5" t="s">
        <v>30</v>
      </c>
      <c r="C84" s="5" t="s">
        <v>124</v>
      </c>
      <c r="D84" s="5">
        <f>_xlfn.NORM.S.INV(0.05)</f>
        <v>-1.6448536269514726</v>
      </c>
    </row>
    <row r="85" spans="2:4" x14ac:dyDescent="0.25">
      <c r="C85" s="5" t="s">
        <v>123</v>
      </c>
      <c r="D85" s="5">
        <f>_xlfn.NORM.S.INV(0.95)</f>
        <v>1.6448536269514715</v>
      </c>
    </row>
    <row r="87" spans="2:4" x14ac:dyDescent="0.25">
      <c r="C87" s="5" t="s">
        <v>122</v>
      </c>
      <c r="D87" s="5">
        <f>$D$68+D84*$D$70</f>
        <v>166.4530898413183</v>
      </c>
    </row>
    <row r="88" spans="2:4" x14ac:dyDescent="0.25">
      <c r="C88" s="5" t="s">
        <v>121</v>
      </c>
      <c r="D88" s="5">
        <f>$D$68+D85*$D$70</f>
        <v>183.54691015868167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68B19-DDA5-F448-AA3B-DFD18CE07C16}">
  <dimension ref="B3:F193"/>
  <sheetViews>
    <sheetView topLeftCell="A47" workbookViewId="0">
      <selection activeCell="C91" sqref="C91"/>
    </sheetView>
  </sheetViews>
  <sheetFormatPr baseColWidth="10" defaultRowHeight="21" x14ac:dyDescent="0.25"/>
  <cols>
    <col min="1" max="1" width="10.83203125" style="5"/>
    <col min="2" max="2" width="16.1640625" style="5" customWidth="1"/>
    <col min="3" max="3" width="13.33203125" style="5" customWidth="1"/>
    <col min="4" max="4" width="19.83203125" style="5" customWidth="1"/>
    <col min="5" max="16384" width="10.83203125" style="5"/>
  </cols>
  <sheetData>
    <row r="3" spans="2:6" x14ac:dyDescent="0.25">
      <c r="B3" s="14" t="s">
        <v>185</v>
      </c>
    </row>
    <row r="4" spans="2:6" x14ac:dyDescent="0.25">
      <c r="B4" s="5" t="s">
        <v>184</v>
      </c>
    </row>
    <row r="7" spans="2:6" x14ac:dyDescent="0.25">
      <c r="B7" s="5" t="s">
        <v>179</v>
      </c>
      <c r="F7" s="5" t="s">
        <v>183</v>
      </c>
    </row>
    <row r="8" spans="2:6" x14ac:dyDescent="0.25">
      <c r="B8" s="5" t="s">
        <v>147</v>
      </c>
      <c r="C8" s="5">
        <v>1000</v>
      </c>
    </row>
    <row r="9" spans="2:6" x14ac:dyDescent="0.25">
      <c r="B9" s="5" t="s">
        <v>178</v>
      </c>
      <c r="C9" s="5">
        <v>1E-3</v>
      </c>
    </row>
    <row r="12" spans="2:6" x14ac:dyDescent="0.25">
      <c r="B12" s="5" t="s">
        <v>182</v>
      </c>
      <c r="C12" s="5">
        <f>1-_xlfn.BINOM.DIST(1,C8,C9,TRUE)</f>
        <v>0.26424108696981286</v>
      </c>
    </row>
    <row r="20" spans="2:3" x14ac:dyDescent="0.25">
      <c r="B20" s="14" t="s">
        <v>181</v>
      </c>
    </row>
    <row r="21" spans="2:3" x14ac:dyDescent="0.25">
      <c r="B21" s="14" t="s">
        <v>180</v>
      </c>
    </row>
    <row r="24" spans="2:3" x14ac:dyDescent="0.25">
      <c r="B24" s="5" t="s">
        <v>179</v>
      </c>
    </row>
    <row r="25" spans="2:3" x14ac:dyDescent="0.25">
      <c r="B25" s="5" t="s">
        <v>147</v>
      </c>
      <c r="C25" s="5">
        <v>1000</v>
      </c>
    </row>
    <row r="26" spans="2:3" x14ac:dyDescent="0.25">
      <c r="B26" s="5" t="s">
        <v>178</v>
      </c>
      <c r="C26" s="5">
        <v>1E-3</v>
      </c>
    </row>
    <row r="28" spans="2:3" x14ac:dyDescent="0.25">
      <c r="B28" s="5" t="s">
        <v>177</v>
      </c>
    </row>
    <row r="30" spans="2:3" x14ac:dyDescent="0.25">
      <c r="B30" s="5" t="s">
        <v>175</v>
      </c>
      <c r="C30" s="5">
        <f>C32-C33</f>
        <v>1.8926833450360392E-2</v>
      </c>
    </row>
    <row r="32" spans="2:3" x14ac:dyDescent="0.25">
      <c r="B32" s="5" t="s">
        <v>174</v>
      </c>
      <c r="C32" s="5">
        <f>_xlfn.BINOM.DIST(628,$C$25,$C$26,TRUE)</f>
        <v>1</v>
      </c>
    </row>
    <row r="33" spans="2:4" x14ac:dyDescent="0.25">
      <c r="B33" s="5" t="s">
        <v>173</v>
      </c>
      <c r="C33" s="5">
        <f>_xlfn.BINOM.DIST(3,$C$25,$C$26,TRUE)</f>
        <v>0.98107316654963961</v>
      </c>
    </row>
    <row r="36" spans="2:4" x14ac:dyDescent="0.25">
      <c r="B36" s="5" t="s">
        <v>161</v>
      </c>
    </row>
    <row r="38" spans="2:4" x14ac:dyDescent="0.25">
      <c r="B38" s="5" t="s">
        <v>49</v>
      </c>
      <c r="C38" s="5">
        <f>C25*C26</f>
        <v>1</v>
      </c>
    </row>
    <row r="39" spans="2:4" x14ac:dyDescent="0.25">
      <c r="B39" s="5" t="s">
        <v>176</v>
      </c>
      <c r="C39" s="5">
        <f>C38*(1-C26)</f>
        <v>0.999</v>
      </c>
    </row>
    <row r="41" spans="2:4" x14ac:dyDescent="0.25">
      <c r="B41" s="5" t="s">
        <v>143</v>
      </c>
    </row>
    <row r="42" spans="2:4" x14ac:dyDescent="0.25">
      <c r="B42" s="5" t="s">
        <v>175</v>
      </c>
      <c r="C42" s="5">
        <f>C44-C45</f>
        <v>2.2696154499666332E-2</v>
      </c>
      <c r="D42" s="15"/>
    </row>
    <row r="44" spans="2:4" x14ac:dyDescent="0.25">
      <c r="B44" s="5" t="s">
        <v>174</v>
      </c>
      <c r="C44" s="5">
        <f>_xlfn.NORM.DIST(628,$C$38,$C$39^0.5,TRUE)</f>
        <v>1</v>
      </c>
    </row>
    <row r="45" spans="2:4" x14ac:dyDescent="0.25">
      <c r="B45" s="5" t="s">
        <v>173</v>
      </c>
      <c r="C45" s="5">
        <f>_xlfn.NORM.DIST(3,$C$38,$C$39^0.5,TRUE)</f>
        <v>0.97730384550033367</v>
      </c>
    </row>
    <row r="49" spans="2:4" x14ac:dyDescent="0.25">
      <c r="B49" s="14" t="s">
        <v>172</v>
      </c>
    </row>
    <row r="51" spans="2:4" x14ac:dyDescent="0.25">
      <c r="B51" s="5" t="s">
        <v>117</v>
      </c>
      <c r="C51" s="5">
        <v>-1.2</v>
      </c>
    </row>
    <row r="52" spans="2:4" x14ac:dyDescent="0.25">
      <c r="B52" s="5" t="s">
        <v>116</v>
      </c>
      <c r="C52" s="5">
        <v>2.4</v>
      </c>
    </row>
    <row r="54" spans="2:4" x14ac:dyDescent="0.25">
      <c r="B54" s="5" t="s">
        <v>166</v>
      </c>
      <c r="C54" s="5">
        <f>C57-C56</f>
        <v>0.87673279385369551</v>
      </c>
    </row>
    <row r="56" spans="2:4" x14ac:dyDescent="0.25">
      <c r="B56" s="5" t="s">
        <v>171</v>
      </c>
      <c r="C56" s="5">
        <f>_xlfn.NORM.S.DIST(C51,TRUE)</f>
        <v>0.11506967022170828</v>
      </c>
      <c r="D56" s="5">
        <f>_xlfn.NORM.DIST(C51,0,1,TRUE)</f>
        <v>0.11506967022170828</v>
      </c>
    </row>
    <row r="57" spans="2:4" x14ac:dyDescent="0.25">
      <c r="B57" s="5" t="s">
        <v>170</v>
      </c>
      <c r="C57" s="5">
        <f>_xlfn.NORM.S.DIST(C52,TRUE)</f>
        <v>0.99180246407540384</v>
      </c>
      <c r="D57" s="5">
        <f>_xlfn.NORM.DIST(C52,0,1,TRUE)</f>
        <v>0.99180246407540384</v>
      </c>
    </row>
    <row r="63" spans="2:4" x14ac:dyDescent="0.25">
      <c r="B63" s="13" t="s">
        <v>169</v>
      </c>
    </row>
    <row r="65" spans="2:6" x14ac:dyDescent="0.25">
      <c r="B65" s="5" t="s">
        <v>117</v>
      </c>
      <c r="C65" s="5">
        <v>1</v>
      </c>
      <c r="E65" s="5" t="s">
        <v>168</v>
      </c>
      <c r="F65" s="5">
        <f>_xlfn.NORM.S.DIST(C65,TRUE)</f>
        <v>0.84134474606854304</v>
      </c>
    </row>
    <row r="66" spans="2:6" x14ac:dyDescent="0.25">
      <c r="B66" s="5" t="s">
        <v>116</v>
      </c>
      <c r="C66" s="5">
        <v>1.56</v>
      </c>
      <c r="E66" s="5" t="s">
        <v>167</v>
      </c>
      <c r="F66" s="5">
        <f>_xlfn.NORM.S.DIST(C66,TRUE)</f>
        <v>0.94062005940520699</v>
      </c>
    </row>
    <row r="68" spans="2:6" x14ac:dyDescent="0.25">
      <c r="B68" s="5" t="s">
        <v>166</v>
      </c>
      <c r="C68" s="5">
        <f>F66-F65</f>
        <v>9.9275313336663951E-2</v>
      </c>
    </row>
    <row r="77" spans="2:6" x14ac:dyDescent="0.25">
      <c r="B77" s="12"/>
    </row>
    <row r="78" spans="2:6" x14ac:dyDescent="0.25">
      <c r="B78" s="11"/>
    </row>
    <row r="79" spans="2:6" x14ac:dyDescent="0.25">
      <c r="B79" s="11"/>
    </row>
    <row r="80" spans="2:6" x14ac:dyDescent="0.25">
      <c r="B80" s="11"/>
    </row>
    <row r="81" spans="2:3" x14ac:dyDescent="0.25">
      <c r="B81" s="11"/>
    </row>
    <row r="82" spans="2:3" x14ac:dyDescent="0.25">
      <c r="B82" s="11"/>
    </row>
    <row r="83" spans="2:3" x14ac:dyDescent="0.25">
      <c r="B83" s="11"/>
    </row>
    <row r="84" spans="2:3" x14ac:dyDescent="0.25">
      <c r="B84" s="11"/>
    </row>
    <row r="85" spans="2:3" x14ac:dyDescent="0.25">
      <c r="B85" s="11"/>
    </row>
    <row r="87" spans="2:3" x14ac:dyDescent="0.25">
      <c r="B87" s="5" t="s">
        <v>108</v>
      </c>
      <c r="C87" s="5">
        <v>0.10199999999999999</v>
      </c>
    </row>
    <row r="89" spans="2:3" x14ac:dyDescent="0.25">
      <c r="B89" s="5" t="s">
        <v>165</v>
      </c>
      <c r="C89" s="5">
        <f>1-C87</f>
        <v>0.89800000000000002</v>
      </c>
    </row>
    <row r="91" spans="2:3" x14ac:dyDescent="0.25">
      <c r="B91" s="5" t="s">
        <v>109</v>
      </c>
      <c r="C91" s="5">
        <f>_xlfn.NORM.S.INV(C89)</f>
        <v>1.2702376223931489</v>
      </c>
    </row>
    <row r="105" spans="2:2" x14ac:dyDescent="0.25">
      <c r="B105" s="10" t="s">
        <v>164</v>
      </c>
    </row>
    <row r="106" spans="2:2" x14ac:dyDescent="0.25">
      <c r="B106" s="8" t="s">
        <v>163</v>
      </c>
    </row>
    <row r="107" spans="2:2" x14ac:dyDescent="0.25">
      <c r="B107" s="9" t="s">
        <v>162</v>
      </c>
    </row>
    <row r="108" spans="2:2" x14ac:dyDescent="0.25">
      <c r="B108" s="8" t="s">
        <v>157</v>
      </c>
    </row>
    <row r="109" spans="2:2" x14ac:dyDescent="0.25">
      <c r="B109" s="8" t="s">
        <v>155</v>
      </c>
    </row>
    <row r="110" spans="2:2" x14ac:dyDescent="0.25">
      <c r="B110" s="5" t="s">
        <v>154</v>
      </c>
    </row>
    <row r="111" spans="2:2" x14ac:dyDescent="0.25">
      <c r="B111" s="8" t="s">
        <v>151</v>
      </c>
    </row>
    <row r="112" spans="2:2" x14ac:dyDescent="0.25">
      <c r="B112" s="8" t="s">
        <v>144</v>
      </c>
    </row>
    <row r="115" spans="2:3" x14ac:dyDescent="0.25">
      <c r="B115" s="8" t="s">
        <v>163</v>
      </c>
    </row>
    <row r="116" spans="2:3" x14ac:dyDescent="0.25">
      <c r="B116" s="9" t="s">
        <v>162</v>
      </c>
    </row>
    <row r="120" spans="2:3" x14ac:dyDescent="0.25">
      <c r="B120" s="5" t="s">
        <v>161</v>
      </c>
    </row>
    <row r="122" spans="2:3" x14ac:dyDescent="0.25">
      <c r="B122" s="5" t="s">
        <v>49</v>
      </c>
      <c r="C122" s="5">
        <v>3420</v>
      </c>
    </row>
    <row r="123" spans="2:3" x14ac:dyDescent="0.25">
      <c r="B123" s="5" t="s">
        <v>149</v>
      </c>
      <c r="C123" s="5">
        <v>495</v>
      </c>
    </row>
    <row r="125" spans="2:3" x14ac:dyDescent="0.25">
      <c r="B125" s="5" t="s">
        <v>159</v>
      </c>
      <c r="C125" s="5" t="s">
        <v>160</v>
      </c>
    </row>
    <row r="127" spans="2:3" x14ac:dyDescent="0.25">
      <c r="B127" s="5" t="s">
        <v>143</v>
      </c>
    </row>
    <row r="129" spans="2:3" x14ac:dyDescent="0.25">
      <c r="B129" s="5" t="s">
        <v>159</v>
      </c>
    </row>
    <row r="131" spans="2:3" x14ac:dyDescent="0.25">
      <c r="B131" s="5" t="s">
        <v>141</v>
      </c>
    </row>
    <row r="133" spans="2:3" x14ac:dyDescent="0.25">
      <c r="B133" s="5" t="s">
        <v>117</v>
      </c>
    </row>
    <row r="135" spans="2:3" x14ac:dyDescent="0.25">
      <c r="B135" s="5" t="s">
        <v>159</v>
      </c>
    </row>
    <row r="136" spans="2:3" x14ac:dyDescent="0.25">
      <c r="B136" s="5" t="s">
        <v>158</v>
      </c>
    </row>
    <row r="139" spans="2:3" x14ac:dyDescent="0.25">
      <c r="B139" s="8" t="s">
        <v>157</v>
      </c>
    </row>
    <row r="141" spans="2:3" x14ac:dyDescent="0.25">
      <c r="B141" s="5" t="s">
        <v>147</v>
      </c>
      <c r="C141" s="5">
        <v>900</v>
      </c>
    </row>
    <row r="143" spans="2:3" x14ac:dyDescent="0.25">
      <c r="B143" s="5" t="s">
        <v>156</v>
      </c>
    </row>
    <row r="146" spans="2:2" x14ac:dyDescent="0.25">
      <c r="B146" s="8" t="s">
        <v>155</v>
      </c>
    </row>
    <row r="147" spans="2:2" x14ac:dyDescent="0.25">
      <c r="B147" s="5" t="s">
        <v>154</v>
      </c>
    </row>
    <row r="149" spans="2:2" x14ac:dyDescent="0.25">
      <c r="B149" s="5" t="s">
        <v>143</v>
      </c>
    </row>
    <row r="151" spans="2:2" x14ac:dyDescent="0.25">
      <c r="B151" s="5" t="s">
        <v>122</v>
      </c>
    </row>
    <row r="154" spans="2:2" x14ac:dyDescent="0.25">
      <c r="B154" s="5" t="s">
        <v>141</v>
      </c>
    </row>
    <row r="156" spans="2:2" x14ac:dyDescent="0.25">
      <c r="B156" s="5" t="s">
        <v>153</v>
      </c>
    </row>
    <row r="158" spans="2:2" x14ac:dyDescent="0.25">
      <c r="B158" s="5" t="s">
        <v>152</v>
      </c>
    </row>
    <row r="160" spans="2:2" x14ac:dyDescent="0.25">
      <c r="B160" s="5" t="s">
        <v>122</v>
      </c>
    </row>
    <row r="165" spans="2:3" x14ac:dyDescent="0.25">
      <c r="B165" s="8" t="s">
        <v>151</v>
      </c>
    </row>
    <row r="167" spans="2:3" x14ac:dyDescent="0.25">
      <c r="B167" s="5" t="s">
        <v>150</v>
      </c>
    </row>
    <row r="169" spans="2:3" x14ac:dyDescent="0.25">
      <c r="B169" s="5" t="s">
        <v>49</v>
      </c>
      <c r="C169" s="5">
        <v>3420</v>
      </c>
    </row>
    <row r="170" spans="2:3" x14ac:dyDescent="0.25">
      <c r="B170" s="5" t="s">
        <v>149</v>
      </c>
      <c r="C170" s="5">
        <v>495</v>
      </c>
    </row>
    <row r="172" spans="2:3" x14ac:dyDescent="0.25">
      <c r="B172" s="5" t="s">
        <v>148</v>
      </c>
    </row>
    <row r="173" spans="2:3" x14ac:dyDescent="0.25">
      <c r="B173" s="5" t="s">
        <v>147</v>
      </c>
    </row>
    <row r="174" spans="2:3" x14ac:dyDescent="0.25">
      <c r="B174" s="5" t="s">
        <v>146</v>
      </c>
    </row>
    <row r="175" spans="2:3" x14ac:dyDescent="0.25">
      <c r="B175" s="5" t="s">
        <v>145</v>
      </c>
    </row>
    <row r="177" spans="2:2" x14ac:dyDescent="0.25">
      <c r="B177" s="8" t="s">
        <v>144</v>
      </c>
    </row>
    <row r="181" spans="2:2" x14ac:dyDescent="0.25">
      <c r="B181" s="5" t="s">
        <v>142</v>
      </c>
    </row>
    <row r="183" spans="2:2" x14ac:dyDescent="0.25">
      <c r="B183" s="5" t="s">
        <v>143</v>
      </c>
    </row>
    <row r="185" spans="2:2" x14ac:dyDescent="0.25">
      <c r="B185" s="5" t="s">
        <v>142</v>
      </c>
    </row>
    <row r="187" spans="2:2" x14ac:dyDescent="0.25">
      <c r="B187" s="5" t="s">
        <v>141</v>
      </c>
    </row>
    <row r="189" spans="2:2" x14ac:dyDescent="0.25">
      <c r="B189" s="5" t="s">
        <v>140</v>
      </c>
    </row>
    <row r="191" spans="2:2" x14ac:dyDescent="0.25">
      <c r="B191" s="5" t="s">
        <v>139</v>
      </c>
    </row>
    <row r="193" spans="2:2" x14ac:dyDescent="0.25">
      <c r="B193" s="5" t="s">
        <v>108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CB5F2-6A75-D941-BC8A-5664070967E0}">
  <dimension ref="B2:P191"/>
  <sheetViews>
    <sheetView topLeftCell="A135" workbookViewId="0">
      <selection activeCell="E153" sqref="E153"/>
    </sheetView>
  </sheetViews>
  <sheetFormatPr baseColWidth="10" defaultRowHeight="21" x14ac:dyDescent="0.25"/>
  <cols>
    <col min="1" max="1" width="10.83203125" style="5"/>
    <col min="2" max="2" width="16.6640625" style="5" customWidth="1"/>
    <col min="3" max="14" width="10.83203125" style="5"/>
    <col min="15" max="15" width="15.83203125" style="5" bestFit="1" customWidth="1"/>
    <col min="16" max="16384" width="10.83203125" style="5"/>
  </cols>
  <sheetData>
    <row r="2" spans="2:2" x14ac:dyDescent="0.25">
      <c r="B2" s="5" t="s">
        <v>225</v>
      </c>
    </row>
    <row r="7" spans="2:2" x14ac:dyDescent="0.25">
      <c r="B7" s="12"/>
    </row>
    <row r="8" spans="2:2" x14ac:dyDescent="0.25">
      <c r="B8" s="11"/>
    </row>
    <row r="9" spans="2:2" x14ac:dyDescent="0.25">
      <c r="B9" s="11"/>
    </row>
    <row r="10" spans="2:2" x14ac:dyDescent="0.25">
      <c r="B10" s="11"/>
    </row>
    <row r="11" spans="2:2" x14ac:dyDescent="0.25">
      <c r="B11" s="11"/>
    </row>
    <row r="12" spans="2:2" x14ac:dyDescent="0.25">
      <c r="B12" s="11"/>
    </row>
    <row r="13" spans="2:2" x14ac:dyDescent="0.25">
      <c r="B13" s="11"/>
    </row>
    <row r="14" spans="2:2" x14ac:dyDescent="0.25">
      <c r="B14" s="11"/>
    </row>
    <row r="15" spans="2:2" x14ac:dyDescent="0.25">
      <c r="B15" s="11"/>
    </row>
    <row r="16" spans="2:2" x14ac:dyDescent="0.25">
      <c r="B16" s="11"/>
    </row>
    <row r="17" spans="2:6" x14ac:dyDescent="0.25">
      <c r="B17" s="11" t="s">
        <v>224</v>
      </c>
      <c r="D17" s="5">
        <v>5.5</v>
      </c>
    </row>
    <row r="18" spans="2:6" x14ac:dyDescent="0.25">
      <c r="B18" s="11" t="s">
        <v>223</v>
      </c>
      <c r="D18" s="5">
        <v>2</v>
      </c>
    </row>
    <row r="19" spans="2:6" x14ac:dyDescent="0.25">
      <c r="B19" s="11"/>
    </row>
    <row r="20" spans="2:6" x14ac:dyDescent="0.25">
      <c r="B20" s="5" t="s">
        <v>220</v>
      </c>
      <c r="C20" s="5" t="s">
        <v>160</v>
      </c>
    </row>
    <row r="22" spans="2:6" x14ac:dyDescent="0.25">
      <c r="B22" s="5" t="s">
        <v>222</v>
      </c>
    </row>
    <row r="24" spans="2:6" x14ac:dyDescent="0.25">
      <c r="B24" s="5" t="s">
        <v>220</v>
      </c>
      <c r="C24" s="5">
        <f>1-_xlfn.NORM.DIST(9.5,D17,D18,TRUE)</f>
        <v>2.2750131948179209E-2</v>
      </c>
    </row>
    <row r="26" spans="2:6" x14ac:dyDescent="0.25">
      <c r="B26" s="5" t="s">
        <v>98</v>
      </c>
    </row>
    <row r="28" spans="2:6" x14ac:dyDescent="0.25">
      <c r="B28" s="5" t="s">
        <v>221</v>
      </c>
      <c r="E28" s="5" t="s">
        <v>109</v>
      </c>
      <c r="F28" s="5">
        <f>(9.5-D17)/D18</f>
        <v>2</v>
      </c>
    </row>
    <row r="30" spans="2:6" x14ac:dyDescent="0.25">
      <c r="B30" s="5" t="s">
        <v>220</v>
      </c>
      <c r="C30" s="5" t="s">
        <v>219</v>
      </c>
      <c r="E30" s="5">
        <f>1-_xlfn.NORM.S.DIST(F28,TRUE)</f>
        <v>2.2750131948179209E-2</v>
      </c>
    </row>
    <row r="31" spans="2:6" x14ac:dyDescent="0.25">
      <c r="B31" s="12"/>
    </row>
    <row r="32" spans="2:6" x14ac:dyDescent="0.25">
      <c r="B32" s="11"/>
    </row>
    <row r="33" spans="2:3" x14ac:dyDescent="0.25">
      <c r="B33" s="11"/>
    </row>
    <row r="34" spans="2:3" x14ac:dyDescent="0.25">
      <c r="B34" s="11"/>
    </row>
    <row r="35" spans="2:3" x14ac:dyDescent="0.25">
      <c r="B35" s="11"/>
    </row>
    <row r="36" spans="2:3" x14ac:dyDescent="0.25">
      <c r="B36" s="11"/>
    </row>
    <row r="37" spans="2:3" x14ac:dyDescent="0.25">
      <c r="B37" s="11"/>
    </row>
    <row r="38" spans="2:3" x14ac:dyDescent="0.25">
      <c r="B38" s="11"/>
    </row>
    <row r="39" spans="2:3" x14ac:dyDescent="0.25">
      <c r="B39" s="11"/>
    </row>
    <row r="42" spans="2:3" x14ac:dyDescent="0.25">
      <c r="B42" s="5" t="s">
        <v>218</v>
      </c>
      <c r="C42" s="18">
        <f>_xlfn.NORM.S.INV(0.975)</f>
        <v>1.9599639845400536</v>
      </c>
    </row>
    <row r="44" spans="2:3" x14ac:dyDescent="0.25">
      <c r="B44" s="5" t="s">
        <v>217</v>
      </c>
      <c r="C44" s="18">
        <f>_xlfn.NORM.S.INV(0.025)</f>
        <v>-1.9599639845400538</v>
      </c>
    </row>
    <row r="51" spans="2:3" x14ac:dyDescent="0.25">
      <c r="B51" s="12"/>
    </row>
    <row r="52" spans="2:3" x14ac:dyDescent="0.25">
      <c r="B52" s="11"/>
    </row>
    <row r="53" spans="2:3" x14ac:dyDescent="0.25">
      <c r="B53" s="11"/>
    </row>
    <row r="54" spans="2:3" x14ac:dyDescent="0.25">
      <c r="B54" s="11"/>
    </row>
    <row r="55" spans="2:3" x14ac:dyDescent="0.25">
      <c r="B55" s="11"/>
    </row>
    <row r="56" spans="2:3" x14ac:dyDescent="0.25">
      <c r="B56" s="11"/>
    </row>
    <row r="57" spans="2:3" x14ac:dyDescent="0.25">
      <c r="B57" s="11"/>
    </row>
    <row r="58" spans="2:3" x14ac:dyDescent="0.25">
      <c r="B58" s="11"/>
    </row>
    <row r="59" spans="2:3" x14ac:dyDescent="0.25">
      <c r="B59" s="11"/>
    </row>
    <row r="60" spans="2:3" x14ac:dyDescent="0.25">
      <c r="B60" s="11"/>
    </row>
    <row r="61" spans="2:3" x14ac:dyDescent="0.25">
      <c r="B61" s="11"/>
    </row>
    <row r="62" spans="2:3" x14ac:dyDescent="0.25">
      <c r="B62" s="11" t="s">
        <v>103</v>
      </c>
      <c r="C62" s="5">
        <v>115</v>
      </c>
    </row>
    <row r="63" spans="2:3" x14ac:dyDescent="0.25">
      <c r="B63" s="11" t="s">
        <v>216</v>
      </c>
      <c r="C63" s="5">
        <v>3</v>
      </c>
    </row>
    <row r="65" spans="2:6" x14ac:dyDescent="0.25">
      <c r="B65" s="5" t="s">
        <v>215</v>
      </c>
      <c r="D65" s="5" t="s">
        <v>214</v>
      </c>
      <c r="F65" s="5">
        <f>C67-C68</f>
        <v>0.4522096477271853</v>
      </c>
    </row>
    <row r="67" spans="2:6" x14ac:dyDescent="0.25">
      <c r="B67" s="5" t="s">
        <v>213</v>
      </c>
      <c r="C67" s="5">
        <f>_xlfn.NORM.DIST(120,$C$62,$C$63,TRUE)</f>
        <v>0.9522096477271853</v>
      </c>
    </row>
    <row r="68" spans="2:6" x14ac:dyDescent="0.25">
      <c r="B68" s="5" t="s">
        <v>212</v>
      </c>
      <c r="C68" s="5">
        <f>_xlfn.NORM.DIST(115,$C$62,$C$63,TRUE)</f>
        <v>0.5</v>
      </c>
    </row>
    <row r="70" spans="2:6" x14ac:dyDescent="0.25">
      <c r="B70" s="5" t="s">
        <v>141</v>
      </c>
    </row>
    <row r="72" spans="2:6" x14ac:dyDescent="0.25">
      <c r="B72" s="5" t="s">
        <v>166</v>
      </c>
      <c r="D72" s="5">
        <f>E75-E74</f>
        <v>0.4522096477271853</v>
      </c>
    </row>
    <row r="74" spans="2:6" x14ac:dyDescent="0.25">
      <c r="B74" s="5" t="s">
        <v>117</v>
      </c>
      <c r="C74" s="5">
        <f>(115-$C$62)/$C$63</f>
        <v>0</v>
      </c>
      <c r="D74" s="5" t="s">
        <v>211</v>
      </c>
      <c r="E74" s="5">
        <f>_xlfn.NORM.S.DIST(C74,TRUE)</f>
        <v>0.5</v>
      </c>
    </row>
    <row r="75" spans="2:6" x14ac:dyDescent="0.25">
      <c r="B75" s="5" t="s">
        <v>116</v>
      </c>
      <c r="C75" s="5">
        <f>(120-$C$62)/$C$63</f>
        <v>1.6666666666666667</v>
      </c>
      <c r="D75" s="5" t="s">
        <v>210</v>
      </c>
      <c r="E75" s="5">
        <f>_xlfn.NORM.S.DIST(C75,TRUE)</f>
        <v>0.9522096477271853</v>
      </c>
    </row>
    <row r="80" spans="2:6" x14ac:dyDescent="0.25">
      <c r="B80" s="12"/>
    </row>
    <row r="81" spans="2:4" x14ac:dyDescent="0.25">
      <c r="B81" s="11"/>
    </row>
    <row r="82" spans="2:4" x14ac:dyDescent="0.25">
      <c r="B82" s="11"/>
    </row>
    <row r="83" spans="2:4" x14ac:dyDescent="0.25">
      <c r="B83" s="11"/>
    </row>
    <row r="84" spans="2:4" x14ac:dyDescent="0.25">
      <c r="B84" s="11"/>
    </row>
    <row r="85" spans="2:4" x14ac:dyDescent="0.25">
      <c r="B85" s="11"/>
    </row>
    <row r="86" spans="2:4" x14ac:dyDescent="0.25">
      <c r="B86" s="11"/>
    </row>
    <row r="87" spans="2:4" x14ac:dyDescent="0.25">
      <c r="B87" s="11"/>
    </row>
    <row r="88" spans="2:4" x14ac:dyDescent="0.25">
      <c r="B88" s="11"/>
    </row>
    <row r="89" spans="2:4" x14ac:dyDescent="0.25">
      <c r="B89" s="11" t="s">
        <v>103</v>
      </c>
      <c r="C89" s="5">
        <v>100</v>
      </c>
    </row>
    <row r="90" spans="2:4" x14ac:dyDescent="0.25">
      <c r="B90" s="11" t="s">
        <v>209</v>
      </c>
      <c r="C90" s="5">
        <v>10</v>
      </c>
    </row>
    <row r="92" spans="2:4" x14ac:dyDescent="0.25">
      <c r="B92" s="5" t="s">
        <v>208</v>
      </c>
      <c r="C92" s="5">
        <f>_xlfn.NORM.INV(0.93,C89,C90)</f>
        <v>114.75791028179171</v>
      </c>
      <c r="D92" s="5">
        <f>C89+C94*C90</f>
        <v>114.75791028179171</v>
      </c>
    </row>
    <row r="94" spans="2:4" x14ac:dyDescent="0.25">
      <c r="B94" s="5" t="s">
        <v>207</v>
      </c>
      <c r="C94" s="5">
        <f>_xlfn.NORM.S.INV(0.93)</f>
        <v>1.4757910281791713</v>
      </c>
    </row>
    <row r="100" spans="2:3" x14ac:dyDescent="0.25">
      <c r="B100" s="17"/>
    </row>
    <row r="101" spans="2:3" x14ac:dyDescent="0.25">
      <c r="B101" s="16"/>
    </row>
    <row r="102" spans="2:3" x14ac:dyDescent="0.25">
      <c r="B102" s="16"/>
    </row>
    <row r="103" spans="2:3" x14ac:dyDescent="0.25">
      <c r="B103" s="16"/>
    </row>
    <row r="104" spans="2:3" x14ac:dyDescent="0.25">
      <c r="B104" s="16"/>
    </row>
    <row r="105" spans="2:3" x14ac:dyDescent="0.25">
      <c r="B105" s="16"/>
    </row>
    <row r="106" spans="2:3" x14ac:dyDescent="0.25">
      <c r="B106" s="5" t="s">
        <v>202</v>
      </c>
    </row>
    <row r="107" spans="2:3" x14ac:dyDescent="0.25">
      <c r="B107" s="5" t="s">
        <v>206</v>
      </c>
      <c r="C107" s="5">
        <v>1200</v>
      </c>
    </row>
    <row r="108" spans="2:3" x14ac:dyDescent="0.25">
      <c r="B108" s="5" t="s">
        <v>205</v>
      </c>
      <c r="C108" s="5">
        <v>200</v>
      </c>
    </row>
    <row r="110" spans="2:3" x14ac:dyDescent="0.25">
      <c r="B110" s="5" t="s">
        <v>204</v>
      </c>
      <c r="C110" s="5" t="s">
        <v>160</v>
      </c>
    </row>
    <row r="112" spans="2:3" x14ac:dyDescent="0.25">
      <c r="B112" s="5" t="s">
        <v>143</v>
      </c>
    </row>
    <row r="114" spans="2:4" x14ac:dyDescent="0.25">
      <c r="B114" s="5" t="s">
        <v>204</v>
      </c>
      <c r="C114" s="5">
        <f>1-_xlfn.NORM.DIST(1000,C107,C108,TRUE)</f>
        <v>0.84134474606854304</v>
      </c>
    </row>
    <row r="116" spans="2:4" x14ac:dyDescent="0.25">
      <c r="B116" s="5" t="s">
        <v>141</v>
      </c>
    </row>
    <row r="118" spans="2:4" x14ac:dyDescent="0.25">
      <c r="B118" s="5" t="s">
        <v>203</v>
      </c>
      <c r="D118" s="5">
        <f>(1000-C107)/C108</f>
        <v>-1</v>
      </c>
    </row>
    <row r="120" spans="2:4" x14ac:dyDescent="0.25">
      <c r="B120" s="5" t="s">
        <v>108</v>
      </c>
      <c r="D120" s="5">
        <f>1-_xlfn.NORM.S.DIST(D118,TRUE)</f>
        <v>0.84134474606854304</v>
      </c>
    </row>
    <row r="130" spans="2:16" x14ac:dyDescent="0.25">
      <c r="B130" s="17"/>
    </row>
    <row r="131" spans="2:16" x14ac:dyDescent="0.25">
      <c r="B131" s="16"/>
    </row>
    <row r="132" spans="2:16" x14ac:dyDescent="0.25">
      <c r="B132" s="16"/>
    </row>
    <row r="133" spans="2:16" x14ac:dyDescent="0.25">
      <c r="B133" s="16"/>
    </row>
    <row r="134" spans="2:16" x14ac:dyDescent="0.25">
      <c r="B134" s="16"/>
    </row>
    <row r="135" spans="2:16" x14ac:dyDescent="0.25">
      <c r="B135" s="16"/>
    </row>
    <row r="136" spans="2:16" x14ac:dyDescent="0.25">
      <c r="B136" s="16"/>
    </row>
    <row r="137" spans="2:16" x14ac:dyDescent="0.25">
      <c r="B137" s="16"/>
    </row>
    <row r="138" spans="2:16" x14ac:dyDescent="0.25">
      <c r="B138" s="16"/>
    </row>
    <row r="139" spans="2:16" x14ac:dyDescent="0.25">
      <c r="B139" s="16"/>
    </row>
    <row r="140" spans="2:16" x14ac:dyDescent="0.25">
      <c r="B140" s="16"/>
      <c r="N140" s="5" t="str">
        <f>B143</f>
        <v>media=</v>
      </c>
      <c r="O140" s="5">
        <f>C143</f>
        <v>20000</v>
      </c>
    </row>
    <row r="141" spans="2:16" x14ac:dyDescent="0.25">
      <c r="B141" s="5" t="s">
        <v>202</v>
      </c>
      <c r="N141" s="5" t="str">
        <f>B144</f>
        <v>dev. St.=</v>
      </c>
      <c r="O141" s="5">
        <f>C144</f>
        <v>44.721359549995796</v>
      </c>
    </row>
    <row r="142" spans="2:16" x14ac:dyDescent="0.25">
      <c r="N142" s="5" t="s">
        <v>201</v>
      </c>
      <c r="O142" s="5">
        <f>O140-4*O141</f>
        <v>19821.114561800016</v>
      </c>
      <c r="P142" s="5" t="s">
        <v>200</v>
      </c>
    </row>
    <row r="143" spans="2:16" x14ac:dyDescent="0.25">
      <c r="B143" s="5" t="s">
        <v>103</v>
      </c>
      <c r="C143" s="5">
        <v>20000</v>
      </c>
      <c r="N143" s="5" t="s">
        <v>199</v>
      </c>
      <c r="O143" s="5">
        <f>O140+4*O141</f>
        <v>20178.885438199984</v>
      </c>
      <c r="P143" s="5" t="s">
        <v>198</v>
      </c>
    </row>
    <row r="144" spans="2:16" x14ac:dyDescent="0.25">
      <c r="B144" s="5" t="s">
        <v>197</v>
      </c>
      <c r="C144" s="5">
        <f>(20*100)^0.5</f>
        <v>44.721359549995796</v>
      </c>
    </row>
    <row r="145" spans="2:15" x14ac:dyDescent="0.25">
      <c r="N145" s="5" t="s">
        <v>83</v>
      </c>
      <c r="O145" s="5" t="s">
        <v>136</v>
      </c>
    </row>
    <row r="146" spans="2:15" x14ac:dyDescent="0.25">
      <c r="N146" s="5">
        <v>19800</v>
      </c>
      <c r="O146" s="5">
        <f t="shared" ref="O146:O174" si="0">_xlfn.NORM.DIST(N146,$O$140,$O$141,FALSE)</f>
        <v>4.0499554780445518E-7</v>
      </c>
    </row>
    <row r="147" spans="2:15" x14ac:dyDescent="0.25">
      <c r="B147" s="5" t="s">
        <v>196</v>
      </c>
      <c r="C147" s="5" t="s">
        <v>160</v>
      </c>
      <c r="D147" s="5">
        <v>19900</v>
      </c>
      <c r="N147" s="5">
        <f t="shared" ref="N147:N174" si="1">N146+15</f>
        <v>19815</v>
      </c>
      <c r="O147" s="5">
        <f t="shared" si="0"/>
        <v>1.7157851598214379E-6</v>
      </c>
    </row>
    <row r="148" spans="2:15" x14ac:dyDescent="0.25">
      <c r="N148" s="5">
        <f t="shared" si="1"/>
        <v>19830</v>
      </c>
      <c r="O148" s="5">
        <f t="shared" si="0"/>
        <v>6.4955725261369099E-6</v>
      </c>
    </row>
    <row r="149" spans="2:15" x14ac:dyDescent="0.25">
      <c r="B149" s="5" t="s">
        <v>143</v>
      </c>
      <c r="N149" s="5">
        <f t="shared" si="1"/>
        <v>19845</v>
      </c>
      <c r="O149" s="5">
        <f t="shared" si="0"/>
        <v>2.1974238610586212E-5</v>
      </c>
    </row>
    <row r="150" spans="2:15" x14ac:dyDescent="0.25">
      <c r="N150" s="5">
        <f t="shared" si="1"/>
        <v>19860</v>
      </c>
      <c r="O150" s="5">
        <f t="shared" si="0"/>
        <v>6.642814219885536E-5</v>
      </c>
    </row>
    <row r="151" spans="2:15" x14ac:dyDescent="0.25">
      <c r="B151" s="5" t="s">
        <v>196</v>
      </c>
      <c r="C151" s="5">
        <f>_xlfn.NORM.DIST(D147,C143,C144,TRUE)</f>
        <v>1.2673659338734126E-2</v>
      </c>
      <c r="N151" s="5">
        <f t="shared" si="1"/>
        <v>19875</v>
      </c>
      <c r="O151" s="5">
        <f t="shared" si="0"/>
        <v>1.7944536619335158E-4</v>
      </c>
    </row>
    <row r="152" spans="2:15" x14ac:dyDescent="0.25">
      <c r="N152" s="5">
        <f t="shared" si="1"/>
        <v>19890</v>
      </c>
      <c r="O152" s="5">
        <f t="shared" si="0"/>
        <v>4.3316589977830406E-4</v>
      </c>
    </row>
    <row r="153" spans="2:15" x14ac:dyDescent="0.25">
      <c r="B153" s="5" t="s">
        <v>195</v>
      </c>
      <c r="N153" s="5">
        <f t="shared" si="1"/>
        <v>19905</v>
      </c>
      <c r="O153" s="5">
        <f t="shared" si="0"/>
        <v>9.3436840184968177E-4</v>
      </c>
    </row>
    <row r="154" spans="2:15" x14ac:dyDescent="0.25">
      <c r="N154" s="5">
        <f t="shared" si="1"/>
        <v>19920</v>
      </c>
      <c r="O154" s="5">
        <f t="shared" si="0"/>
        <v>1.8010422336076834E-3</v>
      </c>
    </row>
    <row r="155" spans="2:15" x14ac:dyDescent="0.25">
      <c r="B155" s="5" t="s">
        <v>165</v>
      </c>
      <c r="C155" s="5">
        <f>_xlfn.NORM.S.DIST(C157,TRUE)</f>
        <v>1.2673659338734126E-2</v>
      </c>
      <c r="N155" s="5">
        <f t="shared" si="1"/>
        <v>19935</v>
      </c>
      <c r="O155" s="5">
        <f t="shared" si="0"/>
        <v>3.102212343051431E-3</v>
      </c>
    </row>
    <row r="156" spans="2:15" x14ac:dyDescent="0.25">
      <c r="N156" s="5">
        <f t="shared" si="1"/>
        <v>19950</v>
      </c>
      <c r="O156" s="5">
        <f t="shared" si="0"/>
        <v>4.7748641153355651E-3</v>
      </c>
    </row>
    <row r="157" spans="2:15" x14ac:dyDescent="0.25">
      <c r="B157" s="5" t="s">
        <v>109</v>
      </c>
      <c r="C157" s="5">
        <f>(D147-C143)/C144</f>
        <v>-2.2360679774997898</v>
      </c>
      <c r="N157" s="5">
        <f t="shared" si="1"/>
        <v>19965</v>
      </c>
      <c r="O157" s="5">
        <f t="shared" si="0"/>
        <v>6.567383581775923E-3</v>
      </c>
    </row>
    <row r="158" spans="2:15" x14ac:dyDescent="0.25">
      <c r="N158" s="5">
        <f t="shared" si="1"/>
        <v>19980</v>
      </c>
      <c r="O158" s="5">
        <f t="shared" si="0"/>
        <v>8.0717112935768092E-3</v>
      </c>
    </row>
    <row r="159" spans="2:15" x14ac:dyDescent="0.25">
      <c r="N159" s="5">
        <f t="shared" si="1"/>
        <v>19995</v>
      </c>
      <c r="O159" s="5">
        <f t="shared" si="0"/>
        <v>8.8650405705902671E-3</v>
      </c>
    </row>
    <row r="160" spans="2:15" x14ac:dyDescent="0.25">
      <c r="N160" s="5">
        <f t="shared" si="1"/>
        <v>20010</v>
      </c>
      <c r="O160" s="5">
        <f t="shared" si="0"/>
        <v>8.7003696738629302E-3</v>
      </c>
    </row>
    <row r="161" spans="2:15" x14ac:dyDescent="0.25">
      <c r="B161" s="5" t="s">
        <v>194</v>
      </c>
      <c r="N161" s="5">
        <f t="shared" si="1"/>
        <v>20025</v>
      </c>
      <c r="O161" s="5">
        <f t="shared" si="0"/>
        <v>7.6302111304387896E-3</v>
      </c>
    </row>
    <row r="162" spans="2:15" x14ac:dyDescent="0.25">
      <c r="N162" s="5">
        <f t="shared" si="1"/>
        <v>20040</v>
      </c>
      <c r="O162" s="5">
        <f t="shared" si="0"/>
        <v>5.9796707983640991E-3</v>
      </c>
    </row>
    <row r="163" spans="2:15" x14ac:dyDescent="0.25">
      <c r="N163" s="5">
        <f t="shared" si="1"/>
        <v>20055</v>
      </c>
      <c r="O163" s="5">
        <f t="shared" si="0"/>
        <v>4.1875486542389635E-3</v>
      </c>
    </row>
    <row r="164" spans="2:15" x14ac:dyDescent="0.25">
      <c r="N164" s="5">
        <f t="shared" si="1"/>
        <v>20070</v>
      </c>
      <c r="O164" s="5">
        <f t="shared" si="0"/>
        <v>2.6205009872639676E-3</v>
      </c>
    </row>
    <row r="165" spans="2:15" x14ac:dyDescent="0.25">
      <c r="N165" s="5">
        <f t="shared" si="1"/>
        <v>20085</v>
      </c>
      <c r="O165" s="5">
        <f t="shared" si="0"/>
        <v>1.4653813503578313E-3</v>
      </c>
    </row>
    <row r="166" spans="2:15" x14ac:dyDescent="0.25">
      <c r="N166" s="5">
        <f t="shared" si="1"/>
        <v>20100</v>
      </c>
      <c r="O166" s="5">
        <f t="shared" si="0"/>
        <v>7.3224912809632405E-4</v>
      </c>
    </row>
    <row r="167" spans="2:15" x14ac:dyDescent="0.25">
      <c r="N167" s="5">
        <f t="shared" si="1"/>
        <v>20115</v>
      </c>
      <c r="O167" s="5">
        <f t="shared" si="0"/>
        <v>3.2697077538386513E-4</v>
      </c>
    </row>
    <row r="168" spans="2:15" x14ac:dyDescent="0.25">
      <c r="N168" s="5">
        <f t="shared" si="1"/>
        <v>20130</v>
      </c>
      <c r="O168" s="5">
        <f t="shared" si="0"/>
        <v>1.304670618109662E-4</v>
      </c>
    </row>
    <row r="169" spans="2:15" x14ac:dyDescent="0.25">
      <c r="N169" s="5">
        <f t="shared" si="1"/>
        <v>20145</v>
      </c>
      <c r="O169" s="5">
        <f t="shared" si="0"/>
        <v>4.6519463503661924E-5</v>
      </c>
    </row>
    <row r="170" spans="2:15" x14ac:dyDescent="0.25">
      <c r="N170" s="5">
        <f t="shared" si="1"/>
        <v>20160</v>
      </c>
      <c r="O170" s="5">
        <f t="shared" si="0"/>
        <v>1.482212200719328E-5</v>
      </c>
    </row>
    <row r="171" spans="2:15" x14ac:dyDescent="0.25">
      <c r="N171" s="5">
        <f t="shared" si="1"/>
        <v>20175</v>
      </c>
      <c r="O171" s="5">
        <f t="shared" si="0"/>
        <v>4.2201505171737314E-6</v>
      </c>
    </row>
    <row r="172" spans="2:15" x14ac:dyDescent="0.25">
      <c r="N172" s="5">
        <f t="shared" si="1"/>
        <v>20190</v>
      </c>
      <c r="O172" s="5">
        <f t="shared" si="0"/>
        <v>1.0737109169331118E-6</v>
      </c>
    </row>
    <row r="173" spans="2:15" x14ac:dyDescent="0.25">
      <c r="N173" s="5">
        <f t="shared" si="1"/>
        <v>20205</v>
      </c>
      <c r="O173" s="5">
        <f t="shared" si="0"/>
        <v>2.4411174065551265E-7</v>
      </c>
    </row>
    <row r="174" spans="2:15" x14ac:dyDescent="0.25">
      <c r="N174" s="5">
        <f t="shared" si="1"/>
        <v>20220</v>
      </c>
      <c r="O174" s="5">
        <f t="shared" si="0"/>
        <v>4.9594308242493561E-8</v>
      </c>
    </row>
    <row r="175" spans="2:15" x14ac:dyDescent="0.25">
      <c r="B175" s="5" t="s">
        <v>193</v>
      </c>
    </row>
    <row r="176" spans="2:15" x14ac:dyDescent="0.25">
      <c r="B176" s="5" t="s">
        <v>192</v>
      </c>
    </row>
    <row r="178" spans="2:5" x14ac:dyDescent="0.25">
      <c r="B178" s="5" t="str">
        <f>B143</f>
        <v>media=</v>
      </c>
      <c r="C178" s="5">
        <f>C143</f>
        <v>20000</v>
      </c>
    </row>
    <row r="179" spans="2:5" x14ac:dyDescent="0.25">
      <c r="B179" s="5" t="str">
        <f>B144</f>
        <v>dev. St.=</v>
      </c>
      <c r="C179" s="5">
        <f>C144</f>
        <v>44.721359549995796</v>
      </c>
    </row>
    <row r="181" spans="2:5" x14ac:dyDescent="0.25">
      <c r="B181" s="5" t="s">
        <v>191</v>
      </c>
      <c r="C181" s="5">
        <v>1E-3</v>
      </c>
    </row>
    <row r="183" spans="2:5" x14ac:dyDescent="0.25">
      <c r="B183" s="5" t="s">
        <v>189</v>
      </c>
      <c r="C183" s="5" t="s">
        <v>160</v>
      </c>
    </row>
    <row r="185" spans="2:5" x14ac:dyDescent="0.25">
      <c r="B185" s="5" t="s">
        <v>143</v>
      </c>
      <c r="D185" s="5" t="s">
        <v>190</v>
      </c>
    </row>
    <row r="187" spans="2:5" x14ac:dyDescent="0.25">
      <c r="B187" s="5" t="s">
        <v>189</v>
      </c>
    </row>
    <row r="189" spans="2:5" x14ac:dyDescent="0.25">
      <c r="B189" s="5" t="s">
        <v>188</v>
      </c>
    </row>
    <row r="191" spans="2:5" x14ac:dyDescent="0.25">
      <c r="B191" s="5" t="s">
        <v>187</v>
      </c>
      <c r="E191" s="5" t="s">
        <v>186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F830F-0BC4-EA41-B7F1-D0E8BD1C401B}">
  <dimension ref="B3:L135"/>
  <sheetViews>
    <sheetView tabSelected="1" topLeftCell="A53" workbookViewId="0">
      <selection activeCell="O9" sqref="O9"/>
    </sheetView>
  </sheetViews>
  <sheetFormatPr baseColWidth="10" defaultRowHeight="21" x14ac:dyDescent="0.25"/>
  <cols>
    <col min="1" max="11" width="10.83203125" style="5"/>
    <col min="12" max="12" width="15.83203125" style="5" bestFit="1" customWidth="1"/>
    <col min="13" max="16384" width="10.83203125" style="5"/>
  </cols>
  <sheetData>
    <row r="3" spans="2:12" x14ac:dyDescent="0.25">
      <c r="B3" s="5" t="s">
        <v>256</v>
      </c>
    </row>
    <row r="4" spans="2:12" x14ac:dyDescent="0.25">
      <c r="B4" s="5" t="s">
        <v>255</v>
      </c>
    </row>
    <row r="6" spans="2:12" x14ac:dyDescent="0.25">
      <c r="B6" s="5" t="s">
        <v>254</v>
      </c>
    </row>
    <row r="7" spans="2:12" x14ac:dyDescent="0.25">
      <c r="B7" s="5" t="s">
        <v>253</v>
      </c>
      <c r="K7" s="5" t="s">
        <v>252</v>
      </c>
    </row>
    <row r="8" spans="2:12" x14ac:dyDescent="0.25">
      <c r="B8" s="5" t="s">
        <v>251</v>
      </c>
    </row>
    <row r="9" spans="2:12" x14ac:dyDescent="0.25">
      <c r="K9" s="5" t="s">
        <v>250</v>
      </c>
      <c r="L9" s="5">
        <f>$C$11-4*$C$12</f>
        <v>32.599999999999994</v>
      </c>
    </row>
    <row r="10" spans="2:12" x14ac:dyDescent="0.25">
      <c r="K10" s="5" t="s">
        <v>249</v>
      </c>
      <c r="L10" s="5">
        <f>$C$11+4*$C$12</f>
        <v>83</v>
      </c>
    </row>
    <row r="11" spans="2:12" x14ac:dyDescent="0.25">
      <c r="B11" s="5" t="s">
        <v>49</v>
      </c>
      <c r="C11" s="5">
        <v>57.8</v>
      </c>
    </row>
    <row r="12" spans="2:12" x14ac:dyDescent="0.25">
      <c r="B12" s="5" t="s">
        <v>129</v>
      </c>
      <c r="C12" s="5">
        <v>6.3</v>
      </c>
      <c r="K12" s="5" t="s">
        <v>83</v>
      </c>
      <c r="L12" s="5" t="s">
        <v>136</v>
      </c>
    </row>
    <row r="13" spans="2:12" x14ac:dyDescent="0.25">
      <c r="K13" s="5">
        <v>30</v>
      </c>
      <c r="L13" s="5">
        <f t="shared" ref="L13:L44" si="0">_xlfn.NORM.DIST(K13,$C$11,$C$12,FALSE)</f>
        <v>3.743678748748065E-6</v>
      </c>
    </row>
    <row r="14" spans="2:12" x14ac:dyDescent="0.25">
      <c r="K14" s="5">
        <f>K13+2</f>
        <v>32</v>
      </c>
      <c r="L14" s="5">
        <f t="shared" si="0"/>
        <v>1.4447694664147423E-5</v>
      </c>
    </row>
    <row r="15" spans="2:12" x14ac:dyDescent="0.25">
      <c r="B15" s="7" t="s">
        <v>248</v>
      </c>
      <c r="C15" s="7">
        <f>_xlfn.NORM.DIST(68,C11,C12,TRUE)</f>
        <v>0.94728149110993731</v>
      </c>
      <c r="K15" s="5">
        <v>31</v>
      </c>
      <c r="L15" s="5">
        <f t="shared" si="0"/>
        <v>7.4476566439612217E-6</v>
      </c>
    </row>
    <row r="16" spans="2:12" x14ac:dyDescent="0.25">
      <c r="K16" s="5">
        <f>K15+2</f>
        <v>33</v>
      </c>
      <c r="L16" s="5">
        <f t="shared" si="0"/>
        <v>2.7329727366220936E-5</v>
      </c>
    </row>
    <row r="17" spans="2:12" x14ac:dyDescent="0.25">
      <c r="K17" s="5">
        <v>32</v>
      </c>
      <c r="L17" s="5">
        <f t="shared" si="0"/>
        <v>1.4447694664147423E-5</v>
      </c>
    </row>
    <row r="18" spans="2:12" x14ac:dyDescent="0.25">
      <c r="B18" s="5" t="s">
        <v>98</v>
      </c>
      <c r="K18" s="5">
        <f>K17+2</f>
        <v>34</v>
      </c>
      <c r="L18" s="5">
        <f t="shared" si="0"/>
        <v>5.0411530175006208E-5</v>
      </c>
    </row>
    <row r="19" spans="2:12" x14ac:dyDescent="0.25">
      <c r="K19" s="5">
        <v>33</v>
      </c>
      <c r="L19" s="5">
        <f t="shared" si="0"/>
        <v>2.7329727366220936E-5</v>
      </c>
    </row>
    <row r="20" spans="2:12" x14ac:dyDescent="0.25">
      <c r="B20" s="5" t="s">
        <v>247</v>
      </c>
      <c r="C20" s="5">
        <v>68</v>
      </c>
      <c r="K20" s="5">
        <f>K19+2</f>
        <v>35</v>
      </c>
      <c r="L20" s="5">
        <f t="shared" si="0"/>
        <v>9.0673900275426626E-5</v>
      </c>
    </row>
    <row r="21" spans="2:12" x14ac:dyDescent="0.25">
      <c r="B21" s="5" t="s">
        <v>109</v>
      </c>
      <c r="C21" s="5">
        <f>(C20-C11)/C12</f>
        <v>1.6190476190476195</v>
      </c>
      <c r="K21" s="5">
        <v>34</v>
      </c>
      <c r="L21" s="5">
        <f t="shared" si="0"/>
        <v>5.0411530175006208E-5</v>
      </c>
    </row>
    <row r="22" spans="2:12" x14ac:dyDescent="0.25">
      <c r="D22" s="5" t="s">
        <v>246</v>
      </c>
      <c r="K22" s="5">
        <f>K21+2</f>
        <v>36</v>
      </c>
      <c r="L22" s="5">
        <f t="shared" si="0"/>
        <v>1.5903494028092269E-4</v>
      </c>
    </row>
    <row r="23" spans="2:12" x14ac:dyDescent="0.25">
      <c r="K23" s="5">
        <v>35</v>
      </c>
      <c r="L23" s="5">
        <f t="shared" si="0"/>
        <v>9.0673900275426626E-5</v>
      </c>
    </row>
    <row r="24" spans="2:12" x14ac:dyDescent="0.25">
      <c r="B24" s="7" t="s">
        <v>245</v>
      </c>
      <c r="C24" s="7"/>
      <c r="D24" s="7"/>
      <c r="E24" s="7">
        <f>_xlfn.NORM.S.DIST(C21,TRUE)</f>
        <v>0.94728149110993731</v>
      </c>
      <c r="K24" s="5">
        <f>K23+2</f>
        <v>37</v>
      </c>
      <c r="L24" s="5">
        <f t="shared" si="0"/>
        <v>2.7199482390689183E-4</v>
      </c>
    </row>
    <row r="25" spans="2:12" x14ac:dyDescent="0.25">
      <c r="K25" s="5">
        <v>36</v>
      </c>
      <c r="L25" s="5">
        <f t="shared" si="0"/>
        <v>1.5903494028092269E-4</v>
      </c>
    </row>
    <row r="26" spans="2:12" x14ac:dyDescent="0.25">
      <c r="K26" s="5">
        <f>K25+2</f>
        <v>38</v>
      </c>
      <c r="L26" s="5">
        <f t="shared" si="0"/>
        <v>4.5361412021827259E-4</v>
      </c>
    </row>
    <row r="27" spans="2:12" x14ac:dyDescent="0.25">
      <c r="K27" s="5">
        <v>37</v>
      </c>
      <c r="L27" s="5">
        <f t="shared" si="0"/>
        <v>2.7199482390689183E-4</v>
      </c>
    </row>
    <row r="28" spans="2:12" x14ac:dyDescent="0.25">
      <c r="K28" s="5">
        <f>K27+2</f>
        <v>39</v>
      </c>
      <c r="L28" s="5">
        <f t="shared" si="0"/>
        <v>7.3768393659100749E-4</v>
      </c>
    </row>
    <row r="29" spans="2:12" x14ac:dyDescent="0.25">
      <c r="B29" s="5" t="s">
        <v>244</v>
      </c>
      <c r="D29" s="5">
        <f>C31-C32</f>
        <v>0.24717135727784101</v>
      </c>
      <c r="K29" s="5">
        <v>38</v>
      </c>
      <c r="L29" s="5">
        <f t="shared" si="0"/>
        <v>4.5361412021827259E-4</v>
      </c>
    </row>
    <row r="30" spans="2:12" x14ac:dyDescent="0.25">
      <c r="K30" s="5">
        <f>K29+2</f>
        <v>40</v>
      </c>
      <c r="L30" s="5">
        <f t="shared" si="0"/>
        <v>1.169800828068912E-3</v>
      </c>
    </row>
    <row r="31" spans="2:12" x14ac:dyDescent="0.25">
      <c r="B31" s="5" t="s">
        <v>243</v>
      </c>
      <c r="C31" s="5">
        <f>_xlfn.NORM.DIST(59,$C$11,$C$12,TRUE)</f>
        <v>0.57553200055972631</v>
      </c>
      <c r="K31" s="5">
        <v>39</v>
      </c>
      <c r="L31" s="5">
        <f t="shared" si="0"/>
        <v>7.3768393659100749E-4</v>
      </c>
    </row>
    <row r="32" spans="2:12" x14ac:dyDescent="0.25">
      <c r="B32" s="5" t="s">
        <v>242</v>
      </c>
      <c r="C32" s="5">
        <f>_xlfn.NORM.DIST(55,$C$11,$C$12,TRUE)</f>
        <v>0.3283606432818853</v>
      </c>
      <c r="K32" s="5">
        <f>K31+2</f>
        <v>41</v>
      </c>
      <c r="L32" s="5">
        <f t="shared" si="0"/>
        <v>1.808886670444041E-3</v>
      </c>
    </row>
    <row r="33" spans="2:12" x14ac:dyDescent="0.25">
      <c r="K33" s="5">
        <v>40</v>
      </c>
      <c r="L33" s="5">
        <f t="shared" si="0"/>
        <v>1.169800828068912E-3</v>
      </c>
    </row>
    <row r="34" spans="2:12" x14ac:dyDescent="0.25">
      <c r="B34" s="5" t="s">
        <v>38</v>
      </c>
      <c r="C34" s="5">
        <v>55</v>
      </c>
      <c r="E34" s="5" t="s">
        <v>117</v>
      </c>
      <c r="F34" s="5">
        <f>(C34-C11)/C12</f>
        <v>-0.44444444444444403</v>
      </c>
      <c r="K34" s="5">
        <f>K33+2</f>
        <v>42</v>
      </c>
      <c r="L34" s="5">
        <f t="shared" si="0"/>
        <v>2.7275243014091262E-3</v>
      </c>
    </row>
    <row r="35" spans="2:12" x14ac:dyDescent="0.25">
      <c r="B35" s="5" t="s">
        <v>37</v>
      </c>
      <c r="C35" s="5">
        <v>59</v>
      </c>
      <c r="E35" s="5" t="s">
        <v>116</v>
      </c>
      <c r="F35" s="5">
        <f>(C35-C11)/C12</f>
        <v>0.19047619047619094</v>
      </c>
      <c r="K35" s="5">
        <v>41</v>
      </c>
      <c r="L35" s="5">
        <f t="shared" si="0"/>
        <v>1.808886670444041E-3</v>
      </c>
    </row>
    <row r="36" spans="2:12" x14ac:dyDescent="0.25">
      <c r="K36" s="5">
        <f>K35+2</f>
        <v>43</v>
      </c>
      <c r="L36" s="5">
        <f t="shared" si="0"/>
        <v>4.0103634647691662E-3</v>
      </c>
    </row>
    <row r="37" spans="2:12" x14ac:dyDescent="0.25">
      <c r="B37" s="5" t="s">
        <v>241</v>
      </c>
      <c r="E37" s="5" t="s">
        <v>210</v>
      </c>
      <c r="F37" s="5">
        <f>_xlfn.NORM.S.DIST(F35,TRUE)</f>
        <v>0.57553200055972631</v>
      </c>
      <c r="K37" s="5">
        <v>42</v>
      </c>
      <c r="L37" s="5">
        <f t="shared" si="0"/>
        <v>2.7275243014091262E-3</v>
      </c>
    </row>
    <row r="38" spans="2:12" x14ac:dyDescent="0.25">
      <c r="C38" s="5">
        <f>F37-F38</f>
        <v>0.24717135727784101</v>
      </c>
      <c r="E38" s="5" t="s">
        <v>211</v>
      </c>
      <c r="F38" s="5">
        <f>_xlfn.NORM.S.DIST(F34,TRUE)</f>
        <v>0.3283606432818853</v>
      </c>
      <c r="K38" s="5">
        <f>K37+2</f>
        <v>44</v>
      </c>
      <c r="L38" s="5">
        <f t="shared" si="0"/>
        <v>5.7498521524335742E-3</v>
      </c>
    </row>
    <row r="39" spans="2:12" x14ac:dyDescent="0.25">
      <c r="K39" s="5">
        <v>43</v>
      </c>
      <c r="L39" s="5">
        <f t="shared" si="0"/>
        <v>4.0103634647691662E-3</v>
      </c>
    </row>
    <row r="40" spans="2:12" x14ac:dyDescent="0.25">
      <c r="K40" s="5">
        <f>K39+2</f>
        <v>45</v>
      </c>
      <c r="L40" s="5">
        <f t="shared" si="0"/>
        <v>8.0387302661403381E-3</v>
      </c>
    </row>
    <row r="41" spans="2:12" x14ac:dyDescent="0.25">
      <c r="K41" s="5">
        <v>44</v>
      </c>
      <c r="L41" s="5">
        <f t="shared" si="0"/>
        <v>5.7498521524335742E-3</v>
      </c>
    </row>
    <row r="42" spans="2:12" x14ac:dyDescent="0.25">
      <c r="B42" s="5" t="s">
        <v>240</v>
      </c>
      <c r="K42" s="5">
        <f>K41+2</f>
        <v>46</v>
      </c>
      <c r="L42" s="5">
        <f t="shared" si="0"/>
        <v>1.0959129816852887E-2</v>
      </c>
    </row>
    <row r="43" spans="2:12" x14ac:dyDescent="0.25">
      <c r="B43" s="5" t="s">
        <v>239</v>
      </c>
      <c r="K43" s="5">
        <v>45</v>
      </c>
      <c r="L43" s="5">
        <f t="shared" si="0"/>
        <v>8.0387302661403381E-3</v>
      </c>
    </row>
    <row r="44" spans="2:12" x14ac:dyDescent="0.25">
      <c r="B44" s="5" t="s">
        <v>238</v>
      </c>
      <c r="D44" s="5">
        <f>_xlfn.NORM.INV(0.75,C11,C12)</f>
        <v>62.049285426235315</v>
      </c>
      <c r="K44" s="5">
        <f>K43+2</f>
        <v>47</v>
      </c>
      <c r="L44" s="5">
        <f t="shared" si="0"/>
        <v>1.4568757772080648E-2</v>
      </c>
    </row>
    <row r="45" spans="2:12" x14ac:dyDescent="0.25">
      <c r="B45" s="5" t="s">
        <v>237</v>
      </c>
      <c r="K45" s="5">
        <v>46</v>
      </c>
      <c r="L45" s="5">
        <f t="shared" ref="L45:L76" si="1">_xlfn.NORM.DIST(K45,$C$11,$C$12,FALSE)</f>
        <v>1.0959129816852887E-2</v>
      </c>
    </row>
    <row r="46" spans="2:12" x14ac:dyDescent="0.25">
      <c r="K46" s="5">
        <f>K45+2</f>
        <v>48</v>
      </c>
      <c r="L46" s="5">
        <f t="shared" si="1"/>
        <v>1.8885427051440733E-2</v>
      </c>
    </row>
    <row r="47" spans="2:12" x14ac:dyDescent="0.25">
      <c r="K47" s="5">
        <v>47</v>
      </c>
      <c r="L47" s="5">
        <f t="shared" si="1"/>
        <v>1.4568757772080648E-2</v>
      </c>
    </row>
    <row r="48" spans="2:12" x14ac:dyDescent="0.25">
      <c r="K48" s="5">
        <f>K47+2</f>
        <v>49</v>
      </c>
      <c r="L48" s="5">
        <f t="shared" si="1"/>
        <v>2.3872007012410917E-2</v>
      </c>
    </row>
    <row r="49" spans="2:12" x14ac:dyDescent="0.25">
      <c r="K49" s="5">
        <v>48</v>
      </c>
      <c r="L49" s="5">
        <f t="shared" si="1"/>
        <v>1.8885427051440733E-2</v>
      </c>
    </row>
    <row r="50" spans="2:12" x14ac:dyDescent="0.25">
      <c r="B50" s="5" t="s">
        <v>236</v>
      </c>
      <c r="K50" s="5">
        <f>K49+2</f>
        <v>50</v>
      </c>
      <c r="L50" s="5">
        <f t="shared" si="1"/>
        <v>2.9424486536364022E-2</v>
      </c>
    </row>
    <row r="51" spans="2:12" x14ac:dyDescent="0.25">
      <c r="B51" s="5" t="s">
        <v>235</v>
      </c>
      <c r="K51" s="5">
        <v>49</v>
      </c>
      <c r="L51" s="5">
        <f t="shared" si="1"/>
        <v>2.3872007012410917E-2</v>
      </c>
    </row>
    <row r="52" spans="2:12" x14ac:dyDescent="0.25">
      <c r="K52" s="5">
        <f>K51+2</f>
        <v>51</v>
      </c>
      <c r="L52" s="5">
        <f t="shared" si="1"/>
        <v>3.5366060775490545E-2</v>
      </c>
    </row>
    <row r="53" spans="2:12" x14ac:dyDescent="0.25">
      <c r="B53" s="5" t="s">
        <v>234</v>
      </c>
      <c r="K53" s="5">
        <v>50</v>
      </c>
      <c r="L53" s="5">
        <f t="shared" si="1"/>
        <v>2.9424486536364022E-2</v>
      </c>
    </row>
    <row r="54" spans="2:12" x14ac:dyDescent="0.25">
      <c r="K54" s="5">
        <f>K53+2</f>
        <v>52</v>
      </c>
      <c r="L54" s="5">
        <f t="shared" si="1"/>
        <v>4.1449788698902243E-2</v>
      </c>
    </row>
    <row r="55" spans="2:12" x14ac:dyDescent="0.25">
      <c r="B55" s="19" t="s">
        <v>233</v>
      </c>
      <c r="C55" s="19"/>
      <c r="D55" s="19">
        <f>_xlfn.NORM.INV(0.35,C11,C12)</f>
        <v>55.372481061632321</v>
      </c>
      <c r="K55" s="5">
        <v>51</v>
      </c>
      <c r="L55" s="5">
        <f t="shared" si="1"/>
        <v>3.5366060775490545E-2</v>
      </c>
    </row>
    <row r="56" spans="2:12" x14ac:dyDescent="0.25">
      <c r="K56" s="5">
        <f>K55+2</f>
        <v>53</v>
      </c>
      <c r="L56" s="5">
        <f t="shared" si="1"/>
        <v>4.7371353017261385E-2</v>
      </c>
    </row>
    <row r="57" spans="2:12" x14ac:dyDescent="0.25">
      <c r="B57" s="5" t="s">
        <v>232</v>
      </c>
      <c r="K57" s="5">
        <v>52</v>
      </c>
      <c r="L57" s="5">
        <f t="shared" si="1"/>
        <v>4.1449788698902243E-2</v>
      </c>
    </row>
    <row r="58" spans="2:12" x14ac:dyDescent="0.25">
      <c r="K58" s="5">
        <f>K57+2</f>
        <v>54</v>
      </c>
      <c r="L58" s="5">
        <f t="shared" si="1"/>
        <v>5.2791875798595247E-2</v>
      </c>
    </row>
    <row r="59" spans="2:12" x14ac:dyDescent="0.25">
      <c r="B59" s="5" t="s">
        <v>98</v>
      </c>
      <c r="K59" s="5">
        <v>53</v>
      </c>
      <c r="L59" s="5">
        <f t="shared" si="1"/>
        <v>4.7371353017261385E-2</v>
      </c>
    </row>
    <row r="60" spans="2:12" x14ac:dyDescent="0.25">
      <c r="B60" s="5" t="s">
        <v>231</v>
      </c>
      <c r="C60" s="5">
        <f>_xlfn.NORM.S.INV(0.35)</f>
        <v>-0.38532046640756784</v>
      </c>
      <c r="K60" s="5">
        <f>K59+2</f>
        <v>55</v>
      </c>
      <c r="L60" s="5">
        <f t="shared" si="1"/>
        <v>5.7368861886149772E-2</v>
      </c>
    </row>
    <row r="61" spans="2:12" x14ac:dyDescent="0.25">
      <c r="B61" s="19" t="s">
        <v>230</v>
      </c>
      <c r="C61" s="19">
        <f>C11+C60*C12</f>
        <v>55.372481061632321</v>
      </c>
      <c r="K61" s="5">
        <v>54</v>
      </c>
      <c r="L61" s="5">
        <f t="shared" si="1"/>
        <v>5.2791875798595247E-2</v>
      </c>
    </row>
    <row r="62" spans="2:12" x14ac:dyDescent="0.25">
      <c r="K62" s="5">
        <f>K61+2</f>
        <v>56</v>
      </c>
      <c r="L62" s="5">
        <f t="shared" si="1"/>
        <v>6.0791549197494008E-2</v>
      </c>
    </row>
    <row r="63" spans="2:12" x14ac:dyDescent="0.25">
      <c r="K63" s="5">
        <v>55</v>
      </c>
      <c r="L63" s="5">
        <f t="shared" si="1"/>
        <v>5.7368861886149772E-2</v>
      </c>
    </row>
    <row r="64" spans="2:12" x14ac:dyDescent="0.25">
      <c r="K64" s="5">
        <f>K63+2</f>
        <v>57</v>
      </c>
      <c r="L64" s="5">
        <f t="shared" si="1"/>
        <v>6.2815673987876824E-2</v>
      </c>
    </row>
    <row r="65" spans="2:12" x14ac:dyDescent="0.25">
      <c r="K65" s="5">
        <v>56</v>
      </c>
      <c r="L65" s="5">
        <f t="shared" si="1"/>
        <v>6.0791549197494008E-2</v>
      </c>
    </row>
    <row r="66" spans="2:12" x14ac:dyDescent="0.25">
      <c r="K66" s="5">
        <f>K65+2</f>
        <v>58</v>
      </c>
      <c r="L66" s="5">
        <f t="shared" si="1"/>
        <v>6.3292270147125823E-2</v>
      </c>
    </row>
    <row r="67" spans="2:12" x14ac:dyDescent="0.25">
      <c r="B67" s="5" t="s">
        <v>229</v>
      </c>
      <c r="K67" s="5">
        <v>57</v>
      </c>
      <c r="L67" s="5">
        <f t="shared" si="1"/>
        <v>6.2815673987876824E-2</v>
      </c>
    </row>
    <row r="68" spans="2:12" x14ac:dyDescent="0.25">
      <c r="K68" s="5">
        <f>K67+2</f>
        <v>59</v>
      </c>
      <c r="L68" s="5">
        <f t="shared" si="1"/>
        <v>6.2185790358034981E-2</v>
      </c>
    </row>
    <row r="69" spans="2:12" x14ac:dyDescent="0.25">
      <c r="B69" s="5" t="s">
        <v>15</v>
      </c>
      <c r="D69" s="5">
        <f>_xlfn.NORM.DIST(0.48,0,1,TRUE)</f>
        <v>0.68438630348377738</v>
      </c>
      <c r="K69" s="5">
        <v>58</v>
      </c>
      <c r="L69" s="5">
        <f t="shared" si="1"/>
        <v>6.3292270147125823E-2</v>
      </c>
    </row>
    <row r="70" spans="2:12" x14ac:dyDescent="0.25">
      <c r="D70" s="5">
        <f>_xlfn.NORM.S.DIST(0.48,TRUE)</f>
        <v>0.68438630348377738</v>
      </c>
      <c r="K70" s="5">
        <f>K69+2</f>
        <v>60</v>
      </c>
      <c r="L70" s="5">
        <f t="shared" si="1"/>
        <v>5.9578488351355201E-2</v>
      </c>
    </row>
    <row r="71" spans="2:12" x14ac:dyDescent="0.25">
      <c r="K71" s="5">
        <v>59</v>
      </c>
      <c r="L71" s="5">
        <f t="shared" si="1"/>
        <v>6.2185790358034981E-2</v>
      </c>
    </row>
    <row r="72" spans="2:12" x14ac:dyDescent="0.25">
      <c r="B72" s="5" t="s">
        <v>228</v>
      </c>
      <c r="K72" s="5">
        <f>K71+2</f>
        <v>61</v>
      </c>
      <c r="L72" s="5">
        <f t="shared" si="1"/>
        <v>5.5660312155227924E-2</v>
      </c>
    </row>
    <row r="73" spans="2:12" x14ac:dyDescent="0.25">
      <c r="B73" s="5" t="s">
        <v>227</v>
      </c>
      <c r="K73" s="5">
        <v>60</v>
      </c>
      <c r="L73" s="5">
        <f t="shared" si="1"/>
        <v>5.9578488351355201E-2</v>
      </c>
    </row>
    <row r="74" spans="2:12" x14ac:dyDescent="0.25">
      <c r="B74" s="5" t="s">
        <v>226</v>
      </c>
      <c r="K74" s="5">
        <f>K73+2</f>
        <v>62</v>
      </c>
      <c r="L74" s="5">
        <f t="shared" si="1"/>
        <v>5.070603262259557E-2</v>
      </c>
    </row>
    <row r="75" spans="2:12" x14ac:dyDescent="0.25">
      <c r="K75" s="5">
        <v>61</v>
      </c>
      <c r="L75" s="5">
        <f t="shared" si="1"/>
        <v>5.5660312155227924E-2</v>
      </c>
    </row>
    <row r="76" spans="2:12" x14ac:dyDescent="0.25">
      <c r="K76" s="5">
        <f>K75+2</f>
        <v>63</v>
      </c>
      <c r="L76" s="5">
        <f t="shared" si="1"/>
        <v>4.5043430776155281E-2</v>
      </c>
    </row>
    <row r="77" spans="2:12" x14ac:dyDescent="0.25">
      <c r="K77" s="5">
        <v>62</v>
      </c>
      <c r="L77" s="5">
        <f t="shared" ref="L77:L108" si="2">_xlfn.NORM.DIST(K77,$C$11,$C$12,FALSE)</f>
        <v>5.070603262259557E-2</v>
      </c>
    </row>
    <row r="78" spans="2:12" x14ac:dyDescent="0.25">
      <c r="K78" s="5">
        <f>K77+2</f>
        <v>64</v>
      </c>
      <c r="L78" s="5">
        <f t="shared" si="2"/>
        <v>3.9017651719920547E-2</v>
      </c>
    </row>
    <row r="79" spans="2:12" x14ac:dyDescent="0.25">
      <c r="K79" s="5">
        <v>63</v>
      </c>
      <c r="L79" s="5">
        <f t="shared" si="2"/>
        <v>4.5043430776155281E-2</v>
      </c>
    </row>
    <row r="80" spans="2:12" x14ac:dyDescent="0.25">
      <c r="K80" s="5">
        <f>K79+2</f>
        <v>65</v>
      </c>
      <c r="L80" s="5">
        <f t="shared" si="2"/>
        <v>3.2957072716698482E-2</v>
      </c>
    </row>
    <row r="81" spans="11:12" x14ac:dyDescent="0.25">
      <c r="K81" s="5">
        <v>64</v>
      </c>
      <c r="L81" s="5">
        <f t="shared" si="2"/>
        <v>3.9017651719920547E-2</v>
      </c>
    </row>
    <row r="82" spans="11:12" x14ac:dyDescent="0.25">
      <c r="K82" s="5">
        <f>K81+2</f>
        <v>66</v>
      </c>
      <c r="L82" s="5">
        <f t="shared" si="2"/>
        <v>2.714525769402603E-2</v>
      </c>
    </row>
    <row r="83" spans="11:12" x14ac:dyDescent="0.25">
      <c r="K83" s="5">
        <v>65</v>
      </c>
      <c r="L83" s="5">
        <f t="shared" si="2"/>
        <v>3.2957072716698482E-2</v>
      </c>
    </row>
    <row r="84" spans="11:12" x14ac:dyDescent="0.25">
      <c r="K84" s="5">
        <f>K83+2</f>
        <v>67</v>
      </c>
      <c r="L84" s="5">
        <f t="shared" si="2"/>
        <v>2.1802040578351653E-2</v>
      </c>
    </row>
    <row r="85" spans="11:12" x14ac:dyDescent="0.25">
      <c r="K85" s="5">
        <v>66</v>
      </c>
      <c r="L85" s="5">
        <f t="shared" si="2"/>
        <v>2.714525769402603E-2</v>
      </c>
    </row>
    <row r="86" spans="11:12" x14ac:dyDescent="0.25">
      <c r="K86" s="5">
        <f>K85+2</f>
        <v>68</v>
      </c>
      <c r="L86" s="5">
        <f t="shared" si="2"/>
        <v>1.7074899437958563E-2</v>
      </c>
    </row>
    <row r="87" spans="11:12" x14ac:dyDescent="0.25">
      <c r="K87" s="5">
        <v>67</v>
      </c>
      <c r="L87" s="5">
        <f t="shared" si="2"/>
        <v>2.1802040578351653E-2</v>
      </c>
    </row>
    <row r="88" spans="11:12" x14ac:dyDescent="0.25">
      <c r="K88" s="5">
        <f>K87+2</f>
        <v>69</v>
      </c>
      <c r="L88" s="5">
        <f t="shared" si="2"/>
        <v>1.3039982295619963E-2</v>
      </c>
    </row>
    <row r="89" spans="11:12" x14ac:dyDescent="0.25">
      <c r="K89" s="5">
        <v>68</v>
      </c>
      <c r="L89" s="5">
        <f t="shared" si="2"/>
        <v>1.7074899437958563E-2</v>
      </c>
    </row>
    <row r="90" spans="11:12" x14ac:dyDescent="0.25">
      <c r="K90" s="5">
        <f>K89+2</f>
        <v>70</v>
      </c>
      <c r="L90" s="5">
        <f t="shared" si="2"/>
        <v>9.7107703830961387E-3</v>
      </c>
    </row>
    <row r="91" spans="11:12" x14ac:dyDescent="0.25">
      <c r="K91" s="5">
        <v>69</v>
      </c>
      <c r="L91" s="5">
        <f t="shared" si="2"/>
        <v>1.3039982295619963E-2</v>
      </c>
    </row>
    <row r="92" spans="11:12" x14ac:dyDescent="0.25">
      <c r="K92" s="5">
        <f>K91+2</f>
        <v>71</v>
      </c>
      <c r="L92" s="5">
        <f t="shared" si="2"/>
        <v>7.0516086952067047E-3</v>
      </c>
    </row>
    <row r="93" spans="11:12" x14ac:dyDescent="0.25">
      <c r="K93" s="5">
        <v>70</v>
      </c>
      <c r="L93" s="5">
        <f t="shared" si="2"/>
        <v>9.7107703830961387E-3</v>
      </c>
    </row>
    <row r="94" spans="11:12" x14ac:dyDescent="0.25">
      <c r="K94" s="5">
        <f>K93+2</f>
        <v>72</v>
      </c>
      <c r="L94" s="5">
        <f t="shared" si="2"/>
        <v>4.9932183781898291E-3</v>
      </c>
    </row>
    <row r="95" spans="11:12" x14ac:dyDescent="0.25">
      <c r="K95" s="5">
        <v>71</v>
      </c>
      <c r="L95" s="5">
        <f t="shared" si="2"/>
        <v>7.0516086952067047E-3</v>
      </c>
    </row>
    <row r="96" spans="11:12" x14ac:dyDescent="0.25">
      <c r="K96" s="5">
        <f>K95+2</f>
        <v>73</v>
      </c>
      <c r="L96" s="5">
        <f t="shared" si="2"/>
        <v>3.4477101879881772E-3</v>
      </c>
    </row>
    <row r="97" spans="11:12" x14ac:dyDescent="0.25">
      <c r="K97" s="5">
        <v>72</v>
      </c>
      <c r="L97" s="5">
        <f t="shared" si="2"/>
        <v>4.9932183781898291E-3</v>
      </c>
    </row>
    <row r="98" spans="11:12" x14ac:dyDescent="0.25">
      <c r="K98" s="5">
        <f>K97+2</f>
        <v>74</v>
      </c>
      <c r="L98" s="5">
        <f t="shared" si="2"/>
        <v>2.3213401352273006E-3</v>
      </c>
    </row>
    <row r="99" spans="11:12" x14ac:dyDescent="0.25">
      <c r="K99" s="5">
        <v>73</v>
      </c>
      <c r="L99" s="5">
        <f t="shared" si="2"/>
        <v>3.4477101879881772E-3</v>
      </c>
    </row>
    <row r="100" spans="11:12" x14ac:dyDescent="0.25">
      <c r="K100" s="5">
        <f>K99+2</f>
        <v>75</v>
      </c>
      <c r="L100" s="5">
        <f t="shared" si="2"/>
        <v>1.5240690527616142E-3</v>
      </c>
    </row>
    <row r="101" spans="11:12" x14ac:dyDescent="0.25">
      <c r="K101" s="5">
        <v>74</v>
      </c>
      <c r="L101" s="5">
        <f t="shared" si="2"/>
        <v>2.3213401352273006E-3</v>
      </c>
    </row>
    <row r="102" spans="11:12" x14ac:dyDescent="0.25">
      <c r="K102" s="5">
        <f>K101+2</f>
        <v>76</v>
      </c>
      <c r="L102" s="5">
        <f t="shared" si="2"/>
        <v>9.7572704977958824E-4</v>
      </c>
    </row>
    <row r="103" spans="11:12" x14ac:dyDescent="0.25">
      <c r="K103" s="5">
        <v>75</v>
      </c>
      <c r="L103" s="5">
        <f t="shared" si="2"/>
        <v>1.5240690527616142E-3</v>
      </c>
    </row>
    <row r="104" spans="11:12" x14ac:dyDescent="0.25">
      <c r="K104" s="5">
        <f>K103+2</f>
        <v>77</v>
      </c>
      <c r="L104" s="5">
        <f t="shared" si="2"/>
        <v>6.0912984895473683E-4</v>
      </c>
    </row>
    <row r="105" spans="11:12" x14ac:dyDescent="0.25">
      <c r="K105" s="5">
        <v>76</v>
      </c>
      <c r="L105" s="5">
        <f t="shared" si="2"/>
        <v>9.7572704977958824E-4</v>
      </c>
    </row>
    <row r="106" spans="11:12" x14ac:dyDescent="0.25">
      <c r="K106" s="5">
        <f>K105+2</f>
        <v>78</v>
      </c>
      <c r="L106" s="5">
        <f t="shared" si="2"/>
        <v>3.708081358648268E-4</v>
      </c>
    </row>
    <row r="107" spans="11:12" x14ac:dyDescent="0.25">
      <c r="K107" s="5">
        <v>77</v>
      </c>
      <c r="L107" s="5">
        <f t="shared" si="2"/>
        <v>6.0912984895473683E-4</v>
      </c>
    </row>
    <row r="108" spans="11:12" x14ac:dyDescent="0.25">
      <c r="K108" s="5">
        <f>K107+2</f>
        <v>79</v>
      </c>
      <c r="L108" s="5">
        <f t="shared" si="2"/>
        <v>2.2011339045233629E-4</v>
      </c>
    </row>
    <row r="109" spans="11:12" x14ac:dyDescent="0.25">
      <c r="K109" s="5">
        <v>78</v>
      </c>
      <c r="L109" s="5">
        <f t="shared" ref="L109:L140" si="3">_xlfn.NORM.DIST(K109,$C$11,$C$12,FALSE)</f>
        <v>3.708081358648268E-4</v>
      </c>
    </row>
    <row r="110" spans="11:12" x14ac:dyDescent="0.25">
      <c r="K110" s="5">
        <f>K109+2</f>
        <v>80</v>
      </c>
      <c r="L110" s="5">
        <f t="shared" si="3"/>
        <v>1.274094111535543E-4</v>
      </c>
    </row>
    <row r="111" spans="11:12" x14ac:dyDescent="0.25">
      <c r="K111" s="5">
        <v>79</v>
      </c>
      <c r="L111" s="5">
        <f t="shared" si="3"/>
        <v>2.2011339045233629E-4</v>
      </c>
    </row>
    <row r="112" spans="11:12" x14ac:dyDescent="0.25">
      <c r="K112" s="5">
        <f>K111+2</f>
        <v>81</v>
      </c>
      <c r="L112" s="5">
        <f t="shared" si="3"/>
        <v>7.1914156338910421E-5</v>
      </c>
    </row>
    <row r="113" spans="11:12" x14ac:dyDescent="0.25">
      <c r="K113" s="5">
        <v>80</v>
      </c>
      <c r="L113" s="5">
        <f t="shared" si="3"/>
        <v>1.274094111535543E-4</v>
      </c>
    </row>
    <row r="114" spans="11:12" x14ac:dyDescent="0.25">
      <c r="K114" s="5">
        <f>K113+2</f>
        <v>82</v>
      </c>
      <c r="L114" s="5">
        <f t="shared" si="3"/>
        <v>3.9580849176757873E-5</v>
      </c>
    </row>
    <row r="115" spans="11:12" x14ac:dyDescent="0.25">
      <c r="K115" s="5">
        <v>81</v>
      </c>
      <c r="L115" s="5">
        <f t="shared" si="3"/>
        <v>7.1914156338910421E-5</v>
      </c>
    </row>
    <row r="116" spans="11:12" x14ac:dyDescent="0.25">
      <c r="K116" s="5">
        <f>K115+2</f>
        <v>83</v>
      </c>
      <c r="L116" s="5">
        <f t="shared" si="3"/>
        <v>2.124289297855316E-5</v>
      </c>
    </row>
    <row r="117" spans="11:12" x14ac:dyDescent="0.25">
      <c r="K117" s="5">
        <v>82</v>
      </c>
      <c r="L117" s="5">
        <f t="shared" si="3"/>
        <v>3.9580849176757873E-5</v>
      </c>
    </row>
    <row r="118" spans="11:12" x14ac:dyDescent="0.25">
      <c r="K118" s="5">
        <f>K117+2</f>
        <v>84</v>
      </c>
      <c r="L118" s="5">
        <f t="shared" si="3"/>
        <v>1.1117318579372645E-5</v>
      </c>
    </row>
    <row r="119" spans="11:12" x14ac:dyDescent="0.25">
      <c r="K119" s="5">
        <v>83</v>
      </c>
      <c r="L119" s="5">
        <f t="shared" si="3"/>
        <v>2.124289297855316E-5</v>
      </c>
    </row>
    <row r="120" spans="11:12" x14ac:dyDescent="0.25">
      <c r="K120" s="5">
        <f>K119+2</f>
        <v>85</v>
      </c>
      <c r="L120" s="5">
        <f t="shared" si="3"/>
        <v>5.6734114015622951E-6</v>
      </c>
    </row>
    <row r="121" spans="11:12" x14ac:dyDescent="0.25">
      <c r="K121" s="5">
        <v>84</v>
      </c>
      <c r="L121" s="5">
        <f t="shared" si="3"/>
        <v>1.1117318579372645E-5</v>
      </c>
    </row>
    <row r="122" spans="11:12" x14ac:dyDescent="0.25">
      <c r="K122" s="5">
        <f>K121+2</f>
        <v>86</v>
      </c>
      <c r="L122" s="5">
        <f t="shared" si="3"/>
        <v>2.8232305144793828E-6</v>
      </c>
    </row>
    <row r="123" spans="11:12" x14ac:dyDescent="0.25">
      <c r="K123" s="5">
        <v>85</v>
      </c>
      <c r="L123" s="5">
        <f t="shared" si="3"/>
        <v>5.6734114015622951E-6</v>
      </c>
    </row>
    <row r="124" spans="11:12" x14ac:dyDescent="0.25">
      <c r="K124" s="5">
        <f>K123+2</f>
        <v>87</v>
      </c>
      <c r="L124" s="5">
        <f t="shared" si="3"/>
        <v>1.3699547983019803E-6</v>
      </c>
    </row>
    <row r="125" spans="11:12" x14ac:dyDescent="0.25">
      <c r="K125" s="5">
        <v>86</v>
      </c>
      <c r="L125" s="5">
        <f t="shared" si="3"/>
        <v>2.8232305144793828E-6</v>
      </c>
    </row>
    <row r="126" spans="11:12" x14ac:dyDescent="0.25">
      <c r="K126" s="5">
        <f>K125+2</f>
        <v>88</v>
      </c>
      <c r="L126" s="5">
        <f t="shared" si="3"/>
        <v>6.4822230747535099E-7</v>
      </c>
    </row>
    <row r="127" spans="11:12" x14ac:dyDescent="0.25">
      <c r="K127" s="5">
        <v>87</v>
      </c>
      <c r="L127" s="5">
        <f t="shared" si="3"/>
        <v>1.3699547983019803E-6</v>
      </c>
    </row>
    <row r="128" spans="11:12" x14ac:dyDescent="0.25">
      <c r="K128" s="5">
        <f>K127+2</f>
        <v>89</v>
      </c>
      <c r="L128" s="5">
        <f t="shared" si="3"/>
        <v>2.9908838197194131E-7</v>
      </c>
    </row>
    <row r="129" spans="11:12" x14ac:dyDescent="0.25">
      <c r="K129" s="5">
        <v>88</v>
      </c>
      <c r="L129" s="5">
        <f t="shared" si="3"/>
        <v>6.4822230747535099E-7</v>
      </c>
    </row>
    <row r="130" spans="11:12" x14ac:dyDescent="0.25">
      <c r="K130" s="5">
        <f>K129+2</f>
        <v>90</v>
      </c>
      <c r="L130" s="5">
        <f t="shared" si="3"/>
        <v>1.3456525858077814E-7</v>
      </c>
    </row>
    <row r="131" spans="11:12" x14ac:dyDescent="0.25">
      <c r="K131" s="5">
        <v>89</v>
      </c>
      <c r="L131" s="5">
        <f t="shared" si="3"/>
        <v>2.9908838197194131E-7</v>
      </c>
    </row>
    <row r="132" spans="11:12" x14ac:dyDescent="0.25">
      <c r="K132" s="5">
        <f>K131+2</f>
        <v>91</v>
      </c>
      <c r="L132" s="5">
        <f t="shared" si="3"/>
        <v>5.9036988174303311E-8</v>
      </c>
    </row>
    <row r="133" spans="11:12" x14ac:dyDescent="0.25">
      <c r="K133" s="5">
        <v>90</v>
      </c>
      <c r="L133" s="5">
        <f t="shared" si="3"/>
        <v>1.3456525858077814E-7</v>
      </c>
    </row>
    <row r="134" spans="11:12" x14ac:dyDescent="0.25">
      <c r="K134" s="5">
        <f>K133+2</f>
        <v>92</v>
      </c>
      <c r="L134" s="5">
        <f t="shared" si="3"/>
        <v>2.5256506174144317E-8</v>
      </c>
    </row>
    <row r="135" spans="11:12" x14ac:dyDescent="0.25">
      <c r="K135" s="5">
        <v>91</v>
      </c>
      <c r="L135" s="5">
        <f t="shared" si="3"/>
        <v>5.9036988174303311E-8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11.1-2-normale</vt:lpstr>
      <vt:lpstr>11.3-percentili di zeta</vt:lpstr>
      <vt:lpstr>11.4-5-NORMALE.N</vt:lpstr>
      <vt:lpstr>norma.st</vt:lpstr>
      <vt:lpstr>prob.norm.st</vt:lpstr>
      <vt:lpstr>NORM ESE</vt:lpstr>
      <vt:lpstr>Normale01</vt:lpstr>
      <vt:lpstr>Normale02</vt:lpstr>
      <vt:lpstr>norm.st-1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2022-07-23T11:13:21Z</dcterms:created>
  <dcterms:modified xsi:type="dcterms:W3CDTF">2022-08-04T10:50:57Z</dcterms:modified>
</cp:coreProperties>
</file>